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b87465661390ef67/Avening PC/Finance/2020-2021/"/>
    </mc:Choice>
  </mc:AlternateContent>
  <xr:revisionPtr revIDLastSave="283" documentId="13_ncr:1_{F9B9042C-881D-4184-96E0-150F78117190}" xr6:coauthVersionLast="45" xr6:coauthVersionMax="45" xr10:uidLastSave="{03016933-0D41-42C5-800C-470394ED9A56}"/>
  <bookViews>
    <workbookView xWindow="1290" yWindow="-120" windowWidth="19320" windowHeight="11760" activeTab="3" xr2:uid="{00000000-000D-0000-FFFF-FFFF00000000}"/>
  </bookViews>
  <sheets>
    <sheet name="Budget" sheetId="12" r:id="rId1"/>
    <sheet name="PC Assets" sheetId="9" r:id="rId2"/>
    <sheet name="Cashbook" sheetId="8" r:id="rId3"/>
    <sheet name="Report" sheetId="5" r:id="rId4"/>
  </sheets>
  <definedNames>
    <definedName name="_xlnm._FilterDatabase" localSheetId="2" hidden="1">Cashbook!$B$5:$K$146</definedName>
    <definedName name="Budget_Lines">Cashbook!$P$8:$P$15</definedName>
    <definedName name="_xlnm.Print_Area" localSheetId="0">Budget!$C$1:$M$73</definedName>
    <definedName name="_xlnm.Print_Area" localSheetId="2">Cashbook!$B$1:$H$156</definedName>
    <definedName name="_xlnm.Print_Area" localSheetId="3">Report!$A$1:$N$40</definedName>
    <definedName name="_xlnm.Print_Titles" localSheetId="2">Cashbook!$5:$5</definedName>
    <definedName name="Sub_categories">Cashbook!$P$18:$P$32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5" l="1"/>
  <c r="L7" i="5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91" i="8" l="1"/>
  <c r="H144" i="8" l="1"/>
  <c r="G144" i="8"/>
  <c r="L8" i="8"/>
  <c r="L9" i="8"/>
  <c r="L10" i="8"/>
  <c r="L11" i="8"/>
  <c r="L12" i="8"/>
  <c r="L13" i="8"/>
  <c r="L14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7" i="8"/>
  <c r="B26" i="5" l="1"/>
  <c r="L162" i="8" l="1"/>
  <c r="F144" i="8"/>
  <c r="I140" i="8"/>
  <c r="L140" i="8" s="1"/>
  <c r="I141" i="8"/>
  <c r="L141" i="8" s="1"/>
  <c r="I142" i="8"/>
  <c r="L142" i="8" s="1"/>
  <c r="I143" i="8"/>
  <c r="L143" i="8" s="1"/>
  <c r="I145" i="8"/>
  <c r="L145" i="8" s="1"/>
  <c r="I146" i="8"/>
  <c r="L146" i="8" s="1"/>
  <c r="K9" i="12"/>
  <c r="D19" i="5" s="1"/>
  <c r="K5" i="12"/>
  <c r="K42" i="12"/>
  <c r="D22" i="5" s="1"/>
  <c r="K41" i="12"/>
  <c r="K22" i="12"/>
  <c r="D20" i="5" s="1"/>
  <c r="K63" i="12"/>
  <c r="K62" i="12"/>
  <c r="M5" i="5" s="1"/>
  <c r="K66" i="12"/>
  <c r="D26" i="5" s="1"/>
  <c r="F26" i="5" s="1"/>
  <c r="G26" i="5" s="1"/>
  <c r="K51" i="12"/>
  <c r="K50" i="12"/>
  <c r="K40" i="12"/>
  <c r="K8" i="12"/>
  <c r="L65" i="12"/>
  <c r="K65" i="12"/>
  <c r="K64" i="12"/>
  <c r="M7" i="5" s="1"/>
  <c r="K6" i="12"/>
  <c r="K7" i="12"/>
  <c r="K20" i="12"/>
  <c r="K21" i="12"/>
  <c r="L28" i="12"/>
  <c r="B21" i="5" s="1"/>
  <c r="E72" i="12"/>
  <c r="F72" i="12"/>
  <c r="G72" i="12"/>
  <c r="H67" i="12"/>
  <c r="H73" i="12" s="1"/>
  <c r="E67" i="12"/>
  <c r="F67" i="12"/>
  <c r="G67" i="12"/>
  <c r="K49" i="12"/>
  <c r="D23" i="12"/>
  <c r="E23" i="12"/>
  <c r="F23" i="12"/>
  <c r="G23" i="12"/>
  <c r="H23" i="12"/>
  <c r="L23" i="12"/>
  <c r="B20" i="5" s="1"/>
  <c r="D56" i="12"/>
  <c r="E56" i="12"/>
  <c r="F56" i="12"/>
  <c r="G56" i="12"/>
  <c r="H56" i="12"/>
  <c r="L56" i="12"/>
  <c r="B24" i="5" s="1"/>
  <c r="K55" i="12"/>
  <c r="K54" i="12"/>
  <c r="K48" i="12"/>
  <c r="K47" i="12"/>
  <c r="K46" i="12"/>
  <c r="K45" i="12"/>
  <c r="K39" i="12"/>
  <c r="K38" i="12"/>
  <c r="K37" i="12"/>
  <c r="K36" i="12"/>
  <c r="K35" i="12"/>
  <c r="K34" i="12"/>
  <c r="K33" i="12"/>
  <c r="K32" i="12"/>
  <c r="K31" i="12"/>
  <c r="K30" i="12"/>
  <c r="K27" i="12"/>
  <c r="K26" i="12"/>
  <c r="K25" i="12"/>
  <c r="K19" i="12"/>
  <c r="K18" i="12"/>
  <c r="K17" i="12"/>
  <c r="K16" i="12"/>
  <c r="K15" i="12"/>
  <c r="K14" i="12"/>
  <c r="K13" i="12"/>
  <c r="K11" i="12"/>
  <c r="K4" i="12"/>
  <c r="H72" i="12"/>
  <c r="L52" i="12"/>
  <c r="B23" i="5" s="1"/>
  <c r="H52" i="12"/>
  <c r="G52" i="12"/>
  <c r="F52" i="12"/>
  <c r="E52" i="12"/>
  <c r="D52" i="12"/>
  <c r="L43" i="12"/>
  <c r="B22" i="5" s="1"/>
  <c r="H43" i="12"/>
  <c r="G43" i="12"/>
  <c r="F43" i="12"/>
  <c r="E43" i="12"/>
  <c r="D43" i="12"/>
  <c r="H28" i="12"/>
  <c r="G28" i="12"/>
  <c r="F28" i="12"/>
  <c r="E28" i="12"/>
  <c r="D28" i="12"/>
  <c r="L10" i="12"/>
  <c r="B19" i="5" s="1"/>
  <c r="H10" i="12"/>
  <c r="G10" i="12"/>
  <c r="F10" i="12"/>
  <c r="E10" i="12"/>
  <c r="D10" i="12"/>
  <c r="D15" i="5"/>
  <c r="E32" i="9"/>
  <c r="D32" i="9"/>
  <c r="C32" i="9"/>
  <c r="B32" i="9"/>
  <c r="P159" i="8"/>
  <c r="P161" i="8" s="1"/>
  <c r="P163" i="8" s="1"/>
  <c r="I7" i="5"/>
  <c r="I9" i="5" s="1"/>
  <c r="L10" i="5" l="1"/>
  <c r="H58" i="12"/>
  <c r="E73" i="12"/>
  <c r="F73" i="12"/>
  <c r="G73" i="12"/>
  <c r="G58" i="12"/>
  <c r="E58" i="12"/>
  <c r="F58" i="12"/>
  <c r="D58" i="12"/>
  <c r="N7" i="5"/>
  <c r="L58" i="12"/>
  <c r="F149" i="8"/>
  <c r="I10" i="5" s="1"/>
  <c r="C24" i="5"/>
  <c r="K56" i="12"/>
  <c r="F24" i="5" s="1"/>
  <c r="G24" i="5" s="1"/>
  <c r="K10" i="12"/>
  <c r="F19" i="5" s="1"/>
  <c r="G19" i="5" s="1"/>
  <c r="K28" i="12"/>
  <c r="F21" i="5" s="1"/>
  <c r="G21" i="5" s="1"/>
  <c r="C22" i="5"/>
  <c r="K52" i="12"/>
  <c r="F23" i="5" s="1"/>
  <c r="G23" i="5" s="1"/>
  <c r="K67" i="12"/>
  <c r="C23" i="5"/>
  <c r="K43" i="12"/>
  <c r="F22" i="5" s="1"/>
  <c r="G22" i="5" s="1"/>
  <c r="K23" i="12"/>
  <c r="F20" i="5" s="1"/>
  <c r="G20" i="5" s="1"/>
  <c r="D28" i="5"/>
  <c r="C21" i="5"/>
  <c r="N5" i="5"/>
  <c r="C20" i="5"/>
  <c r="I11" i="5"/>
  <c r="B25" i="5"/>
  <c r="F25" i="5"/>
  <c r="M8" i="5" s="1"/>
  <c r="L164" i="8"/>
  <c r="L165" i="8" s="1"/>
  <c r="K57" i="12"/>
  <c r="C25" i="5"/>
  <c r="I144" i="8"/>
  <c r="C19" i="5"/>
  <c r="I13" i="5" l="1"/>
  <c r="F150" i="8"/>
  <c r="F152" i="8" s="1"/>
  <c r="F155" i="8" s="1"/>
  <c r="L144" i="8"/>
  <c r="M9" i="5"/>
  <c r="N9" i="5" s="1"/>
  <c r="K58" i="12"/>
  <c r="K70" i="12" s="1"/>
  <c r="K72" i="12" s="1"/>
  <c r="L67" i="12" s="1"/>
  <c r="L68" i="12" s="1"/>
  <c r="L72" i="12" s="1"/>
  <c r="L73" i="12" s="1"/>
  <c r="C28" i="5"/>
  <c r="G25" i="5"/>
  <c r="B28" i="5"/>
  <c r="F28" i="5"/>
  <c r="G28" i="5" l="1"/>
  <c r="N8" i="5"/>
  <c r="N10" i="5" s="1"/>
  <c r="P165" i="8"/>
  <c r="M10" i="5"/>
  <c r="K73" i="12"/>
</calcChain>
</file>

<file path=xl/sharedStrings.xml><?xml version="1.0" encoding="utf-8"?>
<sst xmlns="http://schemas.openxmlformats.org/spreadsheetml/2006/main" count="425" uniqueCount="287">
  <si>
    <t>Totals</t>
  </si>
  <si>
    <t>Asset Record</t>
  </si>
  <si>
    <t>Insurance</t>
  </si>
  <si>
    <t>Avening Parish Council</t>
  </si>
  <si>
    <t>Payments</t>
  </si>
  <si>
    <t>Receipts</t>
  </si>
  <si>
    <t>Actual</t>
  </si>
  <si>
    <t>Budgeted</t>
  </si>
  <si>
    <t>Precept</t>
  </si>
  <si>
    <t>Budget</t>
  </si>
  <si>
    <t>Memberships</t>
  </si>
  <si>
    <t>Payroll</t>
  </si>
  <si>
    <t>Projects</t>
  </si>
  <si>
    <t>Maintenance</t>
  </si>
  <si>
    <t>Other Contractors</t>
  </si>
  <si>
    <t>Council Running Costs</t>
  </si>
  <si>
    <t xml:space="preserve">Expenses/allowances </t>
  </si>
  <si>
    <t>GAPTC</t>
  </si>
  <si>
    <t>SLCC</t>
  </si>
  <si>
    <t>GRCC</t>
  </si>
  <si>
    <t>Glos Wildlife Trust</t>
  </si>
  <si>
    <t>Information Commissioner</t>
  </si>
  <si>
    <t>Training</t>
  </si>
  <si>
    <t>Meeting Room Hire</t>
  </si>
  <si>
    <t>Website</t>
  </si>
  <si>
    <t>Audit</t>
  </si>
  <si>
    <t>Reserves</t>
  </si>
  <si>
    <t>Amount</t>
  </si>
  <si>
    <t>Details</t>
  </si>
  <si>
    <t>Budget Heads</t>
  </si>
  <si>
    <t>Spend breakdown</t>
  </si>
  <si>
    <t>Spend YTD</t>
  </si>
  <si>
    <t>Comment</t>
  </si>
  <si>
    <t>Bank Reconciliation</t>
  </si>
  <si>
    <t>Total receipts</t>
  </si>
  <si>
    <t>Cheques issued not presented</t>
  </si>
  <si>
    <t>Closing balance</t>
  </si>
  <si>
    <t>Avening Parish Council Monthly Report</t>
  </si>
  <si>
    <t>30 day a/c</t>
  </si>
  <si>
    <t>Annual Receipts Summary</t>
  </si>
  <si>
    <t>Payment</t>
  </si>
  <si>
    <t xml:space="preserve">Date </t>
  </si>
  <si>
    <t>Description</t>
  </si>
  <si>
    <t>Method</t>
  </si>
  <si>
    <t>Receipt</t>
  </si>
  <si>
    <t>Interest</t>
  </si>
  <si>
    <t>Other</t>
  </si>
  <si>
    <t>VAT</t>
  </si>
  <si>
    <t>Bal b/fwd</t>
  </si>
  <si>
    <t>Sub totals</t>
  </si>
  <si>
    <t>Business 30 Day Notice</t>
  </si>
  <si>
    <t>Bal c/fwd</t>
  </si>
  <si>
    <t>Treasurer Account</t>
  </si>
  <si>
    <t>High Interest Deposit Account</t>
  </si>
  <si>
    <t>Less Payments</t>
  </si>
  <si>
    <t>Less Unpresented Cheques</t>
  </si>
  <si>
    <t>Closing Balance</t>
  </si>
  <si>
    <t>Unique Ref No</t>
  </si>
  <si>
    <t>Payment Method</t>
  </si>
  <si>
    <t>Valuation as at 31st March 2013</t>
  </si>
  <si>
    <t>Woodstock Triangle</t>
  </si>
  <si>
    <t>Point Road / High Street Triangle</t>
  </si>
  <si>
    <t>Rectory Lane Playing Fields</t>
  </si>
  <si>
    <t>Ash Path (Between High Street and Rectory Lane</t>
  </si>
  <si>
    <t>Custodian Trustee of Village Hall</t>
  </si>
  <si>
    <t>Play Field surfaces</t>
  </si>
  <si>
    <t>5 x Dog Bins (Pound Hill, Playing Field, Sunground. West End, Mays Lane)</t>
  </si>
  <si>
    <t>6 x Litter Bins (3 at Playing Field, Sunground, Mays Lane Bus Shelter)</t>
  </si>
  <si>
    <t>3 X Grit Bins (Sandford Leaze, School, Post Office)</t>
  </si>
  <si>
    <t>3 x Bus Shelters ( Mays Lane, Hampton Hill, High Street)</t>
  </si>
  <si>
    <t>Fence (at Ash Path)</t>
  </si>
  <si>
    <t>2 x Telephone Kiosks (Point Road and Nags Head</t>
  </si>
  <si>
    <t>1 x Bench Seat (Rectory Lane)</t>
  </si>
  <si>
    <t>4 x Notice Boards (Nags Head, 2 at Vidllage Hall, 1 not used</t>
  </si>
  <si>
    <t>Village Sign (High Street)</t>
  </si>
  <si>
    <t>High Viz Jackets and Litter Pickers</t>
  </si>
  <si>
    <t>Comments</t>
  </si>
  <si>
    <t>Playing Field</t>
  </si>
  <si>
    <t>Grass cutting</t>
  </si>
  <si>
    <t>Deeds Storage</t>
  </si>
  <si>
    <t xml:space="preserve">C/F 1 April </t>
  </si>
  <si>
    <t>VAT Refund</t>
  </si>
  <si>
    <t>TOTAL RESERVES</t>
  </si>
  <si>
    <t>AUDIT &amp; LEGAL</t>
  </si>
  <si>
    <t>MEMBERSHIPS</t>
  </si>
  <si>
    <t>COUNCIL RUNNING COSTS</t>
  </si>
  <si>
    <t>MAINTENANCE</t>
  </si>
  <si>
    <t>PROJECTS</t>
  </si>
  <si>
    <t xml:space="preserve">COMMUNITY FUND            </t>
  </si>
  <si>
    <t xml:space="preserve">Avening Parish Council </t>
  </si>
  <si>
    <t>Community Fund</t>
  </si>
  <si>
    <t>Audit &amp; Legal</t>
  </si>
  <si>
    <t>Balance</t>
  </si>
  <si>
    <t>Difference</t>
  </si>
  <si>
    <t>Opening Balance at the Bank</t>
  </si>
  <si>
    <t>CLOSING BALANCES:</t>
  </si>
  <si>
    <t>Plus Unpresented Receipts</t>
  </si>
  <si>
    <t>Less Unpresented Cheques  (Bold)</t>
  </si>
  <si>
    <t>2 x Grit Bins (Church Farm and Ash Path)</t>
  </si>
  <si>
    <t>1 x Grit Bin (West End)</t>
  </si>
  <si>
    <t>Defibrillator</t>
  </si>
  <si>
    <t>Grit / Salt Spreader</t>
  </si>
  <si>
    <t>Grit Salt Shed</t>
  </si>
  <si>
    <t>Valuation as at 31st March 2014</t>
  </si>
  <si>
    <t>Valuation as at 31st March 2015</t>
  </si>
  <si>
    <t>Valuation as at 31st March 2016</t>
  </si>
  <si>
    <t>Budget 2013 - 2014</t>
  </si>
  <si>
    <t xml:space="preserve">Budget 2014 - 2015 </t>
  </si>
  <si>
    <t xml:space="preserve">Budget 2015 - 2016 </t>
  </si>
  <si>
    <t>Volunteer of the Year</t>
  </si>
  <si>
    <t>Defibrilator</t>
  </si>
  <si>
    <t>Avening History Group</t>
  </si>
  <si>
    <t>Project Manager</t>
  </si>
  <si>
    <t xml:space="preserve">Maintenance </t>
  </si>
  <si>
    <t>Water Pumps</t>
  </si>
  <si>
    <t xml:space="preserve"> Legal fees</t>
  </si>
  <si>
    <t>2013 - 2014</t>
  </si>
  <si>
    <t>2014 - 15</t>
  </si>
  <si>
    <t>2015 - 2016</t>
  </si>
  <si>
    <t>Parish Award</t>
  </si>
  <si>
    <t>Notice boards</t>
  </si>
  <si>
    <t>Phone boxes</t>
  </si>
  <si>
    <t>Bus shelter</t>
  </si>
  <si>
    <t>General maintainance</t>
  </si>
  <si>
    <t>Printing</t>
  </si>
  <si>
    <t xml:space="preserve">Refreshments for Meetings </t>
  </si>
  <si>
    <t>Chairman</t>
  </si>
  <si>
    <t>Not for Wreath or refreshments. Use enitrely at Chairman's descretion</t>
  </si>
  <si>
    <t>Unutilised but may require when records cupboard is clerared.</t>
  </si>
  <si>
    <t>Other reserves</t>
  </si>
  <si>
    <t>Budget 2016 - 17</t>
  </si>
  <si>
    <t>Payments for approval</t>
  </si>
  <si>
    <t xml:space="preserve">Notes:
</t>
  </si>
  <si>
    <t>Budget 2017-18</t>
  </si>
  <si>
    <t>2016-17</t>
  </si>
  <si>
    <t>2017-18</t>
  </si>
  <si>
    <t>Playing Field Upgrade</t>
  </si>
  <si>
    <t>3600.00 per year April 2017 - March 2020</t>
  </si>
  <si>
    <t>Hall insurance £837.11 paid Nov 2016 (year 2 of 5 year agreement) Council Insurance £409.39 paid May 2017 year 1 of 3 year agreement</t>
  </si>
  <si>
    <t>Treasurer Account A/C</t>
  </si>
  <si>
    <t>Budget 2018-19</t>
  </si>
  <si>
    <t>Grants &amp; General</t>
  </si>
  <si>
    <t>Village Hall - general maintenance</t>
  </si>
  <si>
    <t>2018-19</t>
  </si>
  <si>
    <t>Sub-category</t>
  </si>
  <si>
    <t>Community fund</t>
  </si>
  <si>
    <t>Running costs</t>
  </si>
  <si>
    <t>Budget lines</t>
  </si>
  <si>
    <t>Sub categories</t>
  </si>
  <si>
    <t>Sub category</t>
  </si>
  <si>
    <t>Audit and Legal</t>
  </si>
  <si>
    <t>Office expenses</t>
  </si>
  <si>
    <t>Other maintenance</t>
  </si>
  <si>
    <t>Includes broadband line for the hall</t>
  </si>
  <si>
    <t>Budget header</t>
  </si>
  <si>
    <t>GPFA</t>
  </si>
  <si>
    <t>Other grants/receipts</t>
  </si>
  <si>
    <t>Reserves*</t>
  </si>
  <si>
    <t>Small Projects</t>
  </si>
  <si>
    <t>Small projects</t>
  </si>
  <si>
    <t>Glos Playing Fields Assn</t>
  </si>
  <si>
    <t>Maintenance of existing unit moved to Maintenance</t>
  </si>
  <si>
    <t>e.g. defib batteries/pads</t>
  </si>
  <si>
    <t>Total credits</t>
  </si>
  <si>
    <t>Villager magazine</t>
  </si>
  <si>
    <t>Villager Magazine</t>
  </si>
  <si>
    <t>Church</t>
  </si>
  <si>
    <t xml:space="preserve">Total credit available </t>
  </si>
  <si>
    <t>VAT paid (to be reclaimed)</t>
  </si>
  <si>
    <t>Total payments (incl. VAT)</t>
  </si>
  <si>
    <t>Net amount</t>
  </si>
  <si>
    <t>Business a/c</t>
  </si>
  <si>
    <t>Other (VAT)</t>
  </si>
  <si>
    <t>Balance validation (VAT)</t>
  </si>
  <si>
    <t>Credits/donations</t>
  </si>
  <si>
    <t>Memorial Hall roof</t>
  </si>
  <si>
    <t>Credits/Donations</t>
  </si>
  <si>
    <t>Village events</t>
  </si>
  <si>
    <t>Includes Poppy Wreath and donation; requests from local organisations. Walks leaflets</t>
  </si>
  <si>
    <t>To include village events, Villager of the year, general village events &amp; Christmas tree</t>
  </si>
  <si>
    <t>Village Hall upgrade/ maintenance</t>
  </si>
  <si>
    <t>Due to be repainted?</t>
  </si>
  <si>
    <t>Final finishes</t>
  </si>
  <si>
    <t>New clerk &amp; councillors after elections</t>
  </si>
  <si>
    <t>for PC only - Youth Club is in community fund</t>
  </si>
  <si>
    <t>Credits less reserves</t>
  </si>
  <si>
    <t>Village Events</t>
  </si>
  <si>
    <t>General Reserves / Unspent</t>
  </si>
  <si>
    <t>Annual spend totals</t>
  </si>
  <si>
    <t>with increase of 5%</t>
  </si>
  <si>
    <t>Estimated c/fwd - Dependent upon balance at the end of the year</t>
  </si>
  <si>
    <t>Previous budgeted credit total less actual expendiature = estimated reserves</t>
  </si>
  <si>
    <t>RECEIPTS</t>
  </si>
  <si>
    <t>Net Spend YTD</t>
  </si>
  <si>
    <t>Grants etc</t>
  </si>
  <si>
    <t>*Clerk to complete</t>
  </si>
  <si>
    <t>Taken from Cashbook - VAT paid</t>
  </si>
  <si>
    <t>Potential reserves</t>
  </si>
  <si>
    <t>Reserves - Credits less budgetd spend</t>
  </si>
  <si>
    <t>Dependent on public consultation</t>
  </si>
  <si>
    <t>general maintenance only - Roof appeal in Projects</t>
  </si>
  <si>
    <t>£560 rin-fenced. Additional 2018/19 costs in website section</t>
  </si>
  <si>
    <t xml:space="preserve"> </t>
  </si>
  <si>
    <t>Total Payment</t>
  </si>
  <si>
    <t>Credits</t>
  </si>
  <si>
    <t>AVENING PARISH COUNCIL - CASH BOOK 2019/2020</t>
  </si>
  <si>
    <t>Check sum</t>
  </si>
  <si>
    <t>c/fwd</t>
  </si>
  <si>
    <t>Remaining precept</t>
  </si>
  <si>
    <t>Actuals 2020/21</t>
  </si>
  <si>
    <t>Budget 2020/21</t>
  </si>
  <si>
    <t>Actuals 2019-20</t>
  </si>
  <si>
    <t>Clerk's travel etc</t>
  </si>
  <si>
    <t>Clerk's salary</t>
  </si>
  <si>
    <t>Youth club grant from CDC</t>
  </si>
  <si>
    <t>Clerk to update</t>
  </si>
  <si>
    <t>VAT claim</t>
  </si>
  <si>
    <t xml:space="preserve">Available budget </t>
  </si>
  <si>
    <t>C/Fwd</t>
  </si>
  <si>
    <t>16.04.20</t>
  </si>
  <si>
    <t xml:space="preserve">P1 </t>
  </si>
  <si>
    <t>IPP John Collinson</t>
  </si>
  <si>
    <t>BACS</t>
  </si>
  <si>
    <t>09.04.20</t>
  </si>
  <si>
    <t>R1</t>
  </si>
  <si>
    <t>Bank Interest</t>
  </si>
  <si>
    <t>P2</t>
  </si>
  <si>
    <t>Hayes Parsons</t>
  </si>
  <si>
    <t>P3</t>
  </si>
  <si>
    <t>P4</t>
  </si>
  <si>
    <t>GeoXphere (Parish Online)</t>
  </si>
  <si>
    <t>Clerk - Flowers John C</t>
  </si>
  <si>
    <t>P5</t>
  </si>
  <si>
    <t>Clerk Salery</t>
  </si>
  <si>
    <t>P6</t>
  </si>
  <si>
    <t>GAPTC Membership</t>
  </si>
  <si>
    <t>21.04.20</t>
  </si>
  <si>
    <t>P7</t>
  </si>
  <si>
    <t>Plusnet</t>
  </si>
  <si>
    <t>DD</t>
  </si>
  <si>
    <t>14.04.20</t>
  </si>
  <si>
    <t>R2</t>
  </si>
  <si>
    <t>29.04.20</t>
  </si>
  <si>
    <t>P8</t>
  </si>
  <si>
    <t>Avendale Maintenance</t>
  </si>
  <si>
    <t>Avendale Maintenace (Paid)</t>
  </si>
  <si>
    <t>Clerk Fee</t>
  </si>
  <si>
    <t>Clerk Expenses</t>
  </si>
  <si>
    <t>11.05.20</t>
  </si>
  <si>
    <t>R3</t>
  </si>
  <si>
    <t>18.05.20</t>
  </si>
  <si>
    <t>P9</t>
  </si>
  <si>
    <t>21.05.20</t>
  </si>
  <si>
    <t>P10</t>
  </si>
  <si>
    <t>J-Bookkeepers</t>
  </si>
  <si>
    <t>P11</t>
  </si>
  <si>
    <t>P12</t>
  </si>
  <si>
    <t xml:space="preserve">Clerk </t>
  </si>
  <si>
    <t>P13</t>
  </si>
  <si>
    <t>P14</t>
  </si>
  <si>
    <t>Clerk - Flowers - Jean Scotford</t>
  </si>
  <si>
    <t>22.05.20</t>
  </si>
  <si>
    <t>P15</t>
  </si>
  <si>
    <t>Playsafety</t>
  </si>
  <si>
    <t>02.06.20</t>
  </si>
  <si>
    <t>P16</t>
  </si>
  <si>
    <t>P17</t>
  </si>
  <si>
    <t>Paul Nelson - Hanging Baskets</t>
  </si>
  <si>
    <t>P18</t>
  </si>
  <si>
    <t>Avening PCC - Churchyard Grant</t>
  </si>
  <si>
    <t>P19</t>
  </si>
  <si>
    <t>Avening PCC - Villager Magazine</t>
  </si>
  <si>
    <t>P20</t>
  </si>
  <si>
    <t>Came &amp; Co - PC Insurance</t>
  </si>
  <si>
    <t>Paul Nelson (paid)</t>
  </si>
  <si>
    <t>Came &amp; Company (Paid)</t>
  </si>
  <si>
    <t>PC Insurance</t>
  </si>
  <si>
    <t>Hanging Baskets</t>
  </si>
  <si>
    <t>Grass Cutting</t>
  </si>
  <si>
    <t>Defib</t>
  </si>
  <si>
    <t>CDC Grant 2019</t>
  </si>
  <si>
    <t>Door - Survey</t>
  </si>
  <si>
    <t>Memorial Hall Roof Donations</t>
  </si>
  <si>
    <t>09.06.20</t>
  </si>
  <si>
    <t>R4</t>
  </si>
  <si>
    <t>T Slater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</si>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</sst>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d/m/yy;@"/>
    <numFmt numFmtId="166" formatCode="d\-mmm"/>
    <numFmt numFmtId="167" formatCode="d\-mmm\-yy"/>
    <numFmt numFmtId="168" formatCode="#,##0.00_ ;\-#,##0.00\ "/>
    <numFmt numFmtId="169" formatCode="_-* #,##0_-;\-* #,##0_-;_-* &quot;-&quot;??_-;_-@_-"/>
    <numFmt numFmtId="170" formatCode="d\.m\.yy;@"/>
    <numFmt numFmtId="171" formatCode="[$-F800]dddd\,\ mmmm\ dd\,\ yyyy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3366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sz val="10"/>
      <color rgb="FF00336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i/>
      <sz val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8" fillId="0" borderId="0"/>
    <xf numFmtId="0" fontId="8" fillId="0" borderId="0"/>
    <xf numFmtId="0" fontId="4" fillId="0" borderId="0"/>
    <xf numFmtId="0" fontId="1" fillId="0" borderId="0"/>
  </cellStyleXfs>
  <cellXfs count="362">
    <xf numFmtId="0" fontId="0" fillId="0" borderId="0" xfId="0"/>
    <xf numFmtId="164" fontId="0" fillId="0" borderId="0" xfId="0" applyNumberFormat="1"/>
    <xf numFmtId="165" fontId="3" fillId="2" borderId="0" xfId="0" applyNumberFormat="1" applyFont="1" applyFill="1"/>
    <xf numFmtId="14" fontId="0" fillId="0" borderId="0" xfId="0" applyNumberFormat="1"/>
    <xf numFmtId="4" fontId="0" fillId="0" borderId="0" xfId="0" applyNumberFormat="1"/>
    <xf numFmtId="0" fontId="3" fillId="3" borderId="4" xfId="0" applyFont="1" applyFill="1" applyBorder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3" fillId="10" borderId="1" xfId="0" applyFont="1" applyFill="1" applyBorder="1" applyAlignment="1">
      <alignment wrapText="1"/>
    </xf>
    <xf numFmtId="2" fontId="0" fillId="0" borderId="0" xfId="0" applyNumberFormat="1"/>
    <xf numFmtId="0" fontId="2" fillId="0" borderId="0" xfId="0" applyFont="1"/>
    <xf numFmtId="169" fontId="9" fillId="0" borderId="0" xfId="1" applyNumberFormat="1" applyFont="1"/>
    <xf numFmtId="1" fontId="9" fillId="0" borderId="0" xfId="1" applyNumberFormat="1" applyFont="1"/>
    <xf numFmtId="169" fontId="11" fillId="0" borderId="21" xfId="1" applyNumberFormat="1" applyFont="1" applyBorder="1"/>
    <xf numFmtId="0" fontId="10" fillId="0" borderId="0" xfId="0" applyFont="1"/>
    <xf numFmtId="0" fontId="9" fillId="0" borderId="0" xfId="0" applyFont="1" applyAlignment="1">
      <alignment vertical="top" wrapText="1"/>
    </xf>
    <xf numFmtId="169" fontId="9" fillId="0" borderId="0" xfId="1" applyNumberFormat="1" applyFont="1" applyAlignment="1">
      <alignment vertical="top"/>
    </xf>
    <xf numFmtId="14" fontId="3" fillId="1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" fontId="12" fillId="0" borderId="0" xfId="6" applyNumberFormat="1" applyFont="1"/>
    <xf numFmtId="0" fontId="15" fillId="0" borderId="0" xfId="0" applyFont="1" applyAlignment="1">
      <alignment vertical="top" wrapText="1"/>
    </xf>
    <xf numFmtId="0" fontId="14" fillId="0" borderId="1" xfId="0" applyFont="1" applyBorder="1"/>
    <xf numFmtId="4" fontId="12" fillId="0" borderId="0" xfId="0" applyNumberFormat="1" applyFont="1"/>
    <xf numFmtId="0" fontId="13" fillId="0" borderId="1" xfId="0" applyFont="1" applyBorder="1"/>
    <xf numFmtId="4" fontId="13" fillId="0" borderId="1" xfId="0" applyNumberFormat="1" applyFont="1" applyBorder="1"/>
    <xf numFmtId="4" fontId="13" fillId="0" borderId="1" xfId="1" applyNumberFormat="1" applyFont="1" applyBorder="1"/>
    <xf numFmtId="4" fontId="12" fillId="0" borderId="0" xfId="1" applyNumberFormat="1" applyFont="1"/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4" fontId="14" fillId="0" borderId="1" xfId="0" applyNumberFormat="1" applyFont="1" applyBorder="1"/>
    <xf numFmtId="0" fontId="17" fillId="0" borderId="0" xfId="0" applyFont="1" applyAlignment="1">
      <alignment vertical="top" wrapText="1"/>
    </xf>
    <xf numFmtId="0" fontId="13" fillId="0" borderId="6" xfId="0" applyFont="1" applyBorder="1"/>
    <xf numFmtId="0" fontId="13" fillId="0" borderId="7" xfId="0" applyFont="1" applyBorder="1"/>
    <xf numFmtId="4" fontId="14" fillId="0" borderId="0" xfId="1" applyNumberFormat="1" applyFont="1"/>
    <xf numFmtId="0" fontId="18" fillId="0" borderId="0" xfId="0" applyFont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1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 textRotation="90" wrapText="1"/>
    </xf>
    <xf numFmtId="0" fontId="22" fillId="0" borderId="0" xfId="7" applyFont="1" applyAlignment="1">
      <alignment horizontal="center" vertical="center"/>
    </xf>
    <xf numFmtId="0" fontId="21" fillId="0" borderId="0" xfId="7" applyFont="1" applyAlignment="1">
      <alignment horizontal="center" wrapText="1"/>
    </xf>
    <xf numFmtId="0" fontId="21" fillId="0" borderId="0" xfId="7" applyFont="1" applyAlignment="1">
      <alignment horizontal="center"/>
    </xf>
    <xf numFmtId="0" fontId="22" fillId="0" borderId="0" xfId="7" applyFont="1" applyAlignment="1">
      <alignment horizontal="center"/>
    </xf>
    <xf numFmtId="0" fontId="23" fillId="0" borderId="0" xfId="0" applyFont="1"/>
    <xf numFmtId="0" fontId="22" fillId="0" borderId="0" xfId="7" applyFont="1" applyAlignment="1">
      <alignment wrapText="1"/>
    </xf>
    <xf numFmtId="0" fontId="24" fillId="15" borderId="0" xfId="7" applyFont="1" applyFill="1" applyAlignment="1">
      <alignment horizontal="center" vertical="center" wrapText="1"/>
    </xf>
    <xf numFmtId="0" fontId="21" fillId="16" borderId="0" xfId="7" applyFont="1" applyFill="1" applyAlignment="1">
      <alignment horizontal="center" vertical="center" wrapText="1"/>
    </xf>
    <xf numFmtId="0" fontId="24" fillId="15" borderId="0" xfId="7" applyFont="1" applyFill="1" applyAlignment="1">
      <alignment horizontal="center" vertical="center"/>
    </xf>
    <xf numFmtId="0" fontId="23" fillId="0" borderId="0" xfId="7" applyFont="1" applyAlignment="1">
      <alignment horizontal="left"/>
    </xf>
    <xf numFmtId="0" fontId="21" fillId="0" borderId="0" xfId="7" applyFont="1"/>
    <xf numFmtId="0" fontId="22" fillId="0" borderId="0" xfId="7" applyFont="1"/>
    <xf numFmtId="0" fontId="22" fillId="0" borderId="0" xfId="7" applyFont="1" applyAlignment="1">
      <alignment vertical="top"/>
    </xf>
    <xf numFmtId="169" fontId="23" fillId="0" borderId="23" xfId="1" applyNumberFormat="1" applyFont="1" applyBorder="1" applyAlignment="1">
      <alignment vertical="top"/>
    </xf>
    <xf numFmtId="0" fontId="23" fillId="0" borderId="23" xfId="7" applyFont="1" applyBorder="1" applyAlignment="1">
      <alignment horizontal="left" vertical="top" wrapText="1"/>
    </xf>
    <xf numFmtId="0" fontId="23" fillId="0" borderId="24" xfId="7" applyFont="1" applyBorder="1" applyAlignment="1">
      <alignment horizontal="right" vertical="top" wrapText="1"/>
    </xf>
    <xf numFmtId="169" fontId="23" fillId="0" borderId="24" xfId="1" applyNumberFormat="1" applyFont="1" applyBorder="1" applyAlignment="1">
      <alignment vertical="top"/>
    </xf>
    <xf numFmtId="3" fontId="20" fillId="0" borderId="25" xfId="7" applyNumberFormat="1" applyFont="1" applyBorder="1" applyAlignment="1">
      <alignment vertical="top"/>
    </xf>
    <xf numFmtId="3" fontId="20" fillId="0" borderId="23" xfId="7" applyNumberFormat="1" applyFont="1" applyBorder="1" applyAlignment="1">
      <alignment horizontal="left" vertical="top"/>
    </xf>
    <xf numFmtId="0" fontId="21" fillId="11" borderId="0" xfId="7" applyFont="1" applyFill="1" applyAlignment="1">
      <alignment vertical="top"/>
    </xf>
    <xf numFmtId="3" fontId="20" fillId="0" borderId="23" xfId="7" applyNumberFormat="1" applyFont="1" applyBorder="1" applyAlignment="1">
      <alignment vertical="top"/>
    </xf>
    <xf numFmtId="0" fontId="20" fillId="18" borderId="23" xfId="7" applyFont="1" applyFill="1" applyBorder="1" applyAlignment="1">
      <alignment horizontal="right" vertical="top"/>
    </xf>
    <xf numFmtId="3" fontId="20" fillId="18" borderId="23" xfId="7" applyNumberFormat="1" applyFont="1" applyFill="1" applyBorder="1" applyAlignment="1">
      <alignment vertical="top"/>
    </xf>
    <xf numFmtId="169" fontId="22" fillId="18" borderId="23" xfId="1" applyNumberFormat="1" applyFont="1" applyFill="1" applyBorder="1" applyAlignment="1">
      <alignment vertical="top"/>
    </xf>
    <xf numFmtId="169" fontId="23" fillId="18" borderId="23" xfId="1" applyNumberFormat="1" applyFont="1" applyFill="1" applyBorder="1" applyAlignment="1">
      <alignment vertical="top"/>
    </xf>
    <xf numFmtId="169" fontId="23" fillId="0" borderId="26" xfId="1" applyNumberFormat="1" applyFont="1" applyBorder="1" applyAlignment="1">
      <alignment vertical="top"/>
    </xf>
    <xf numFmtId="3" fontId="21" fillId="0" borderId="27" xfId="7" applyNumberFormat="1" applyFont="1" applyBorder="1" applyAlignment="1">
      <alignment vertical="top"/>
    </xf>
    <xf numFmtId="0" fontId="21" fillId="12" borderId="0" xfId="7" applyFont="1" applyFill="1" applyAlignment="1">
      <alignment vertical="top"/>
    </xf>
    <xf numFmtId="169" fontId="23" fillId="0" borderId="25" xfId="1" applyNumberFormat="1" applyFont="1" applyBorder="1" applyAlignment="1">
      <alignment vertical="top"/>
    </xf>
    <xf numFmtId="169" fontId="20" fillId="0" borderId="23" xfId="1" applyNumberFormat="1" applyFont="1" applyBorder="1" applyAlignment="1">
      <alignment vertical="top"/>
    </xf>
    <xf numFmtId="4" fontId="21" fillId="11" borderId="0" xfId="7" applyNumberFormat="1" applyFont="1" applyFill="1" applyAlignment="1">
      <alignment horizontal="left" vertical="top"/>
    </xf>
    <xf numFmtId="0" fontId="25" fillId="0" borderId="0" xfId="7" applyFont="1" applyAlignment="1">
      <alignment horizontal="right" vertical="top" wrapText="1"/>
    </xf>
    <xf numFmtId="0" fontId="23" fillId="0" borderId="0" xfId="7" applyFont="1" applyAlignment="1">
      <alignment horizontal="left" vertical="top" wrapText="1"/>
    </xf>
    <xf numFmtId="0" fontId="23" fillId="0" borderId="28" xfId="7" applyFont="1" applyBorder="1" applyAlignment="1">
      <alignment horizontal="right" vertical="top" wrapText="1"/>
    </xf>
    <xf numFmtId="0" fontId="23" fillId="0" borderId="29" xfId="7" applyFont="1" applyBorder="1" applyAlignment="1">
      <alignment horizontal="right" vertical="top" wrapText="1"/>
    </xf>
    <xf numFmtId="0" fontId="22" fillId="0" borderId="28" xfId="7" applyFont="1" applyBorder="1" applyAlignment="1">
      <alignment vertical="top" wrapText="1"/>
    </xf>
    <xf numFmtId="0" fontId="22" fillId="0" borderId="28" xfId="7" applyFont="1" applyBorder="1" applyAlignment="1">
      <alignment horizontal="right" vertical="top" wrapText="1"/>
    </xf>
    <xf numFmtId="0" fontId="22" fillId="0" borderId="29" xfId="7" applyFont="1" applyBorder="1" applyAlignment="1">
      <alignment horizontal="right" vertical="top" wrapText="1"/>
    </xf>
    <xf numFmtId="0" fontId="22" fillId="0" borderId="31" xfId="7" applyFont="1" applyBorder="1" applyAlignment="1">
      <alignment vertical="top" wrapText="1"/>
    </xf>
    <xf numFmtId="0" fontId="21" fillId="0" borderId="32" xfId="7" applyFont="1" applyBorder="1" applyAlignment="1">
      <alignment vertical="top" wrapText="1"/>
    </xf>
    <xf numFmtId="0" fontId="20" fillId="0" borderId="30" xfId="7" applyFont="1" applyBorder="1" applyAlignment="1">
      <alignment vertical="top" wrapText="1"/>
    </xf>
    <xf numFmtId="0" fontId="22" fillId="19" borderId="23" xfId="7" applyFont="1" applyFill="1" applyBorder="1" applyAlignment="1">
      <alignment horizontal="center" vertical="center"/>
    </xf>
    <xf numFmtId="0" fontId="22" fillId="0" borderId="23" xfId="7" applyFont="1" applyBorder="1" applyAlignment="1">
      <alignment horizontal="center" vertical="center"/>
    </xf>
    <xf numFmtId="0" fontId="21" fillId="12" borderId="23" xfId="7" applyFont="1" applyFill="1" applyBorder="1" applyAlignment="1">
      <alignment horizontal="center" vertical="center"/>
    </xf>
    <xf numFmtId="4" fontId="21" fillId="11" borderId="23" xfId="7" applyNumberFormat="1" applyFont="1" applyFill="1" applyBorder="1" applyAlignment="1">
      <alignment horizontal="center" vertical="center"/>
    </xf>
    <xf numFmtId="0" fontId="22" fillId="20" borderId="23" xfId="7" applyFont="1" applyFill="1" applyBorder="1" applyAlignment="1">
      <alignment horizontal="center" vertical="center"/>
    </xf>
    <xf numFmtId="0" fontId="22" fillId="21" borderId="23" xfId="7" applyFont="1" applyFill="1" applyBorder="1" applyAlignment="1">
      <alignment horizontal="center" vertical="center"/>
    </xf>
    <xf numFmtId="0" fontId="21" fillId="21" borderId="23" xfId="7" applyFont="1" applyFill="1" applyBorder="1" applyAlignment="1">
      <alignment horizontal="center" vertical="center"/>
    </xf>
    <xf numFmtId="0" fontId="22" fillId="12" borderId="23" xfId="7" applyFont="1" applyFill="1" applyBorder="1" applyAlignment="1">
      <alignment horizontal="center" vertical="center"/>
    </xf>
    <xf numFmtId="0" fontId="25" fillId="12" borderId="30" xfId="7" applyFont="1" applyFill="1" applyBorder="1" applyAlignment="1">
      <alignment horizontal="right" vertical="top" wrapText="1"/>
    </xf>
    <xf numFmtId="0" fontId="22" fillId="22" borderId="23" xfId="7" applyFont="1" applyFill="1" applyBorder="1" applyAlignment="1">
      <alignment horizontal="center" vertical="center"/>
    </xf>
    <xf numFmtId="0" fontId="25" fillId="22" borderId="30" xfId="7" applyFont="1" applyFill="1" applyBorder="1" applyAlignment="1">
      <alignment horizontal="right" vertical="top" wrapText="1"/>
    </xf>
    <xf numFmtId="0" fontId="22" fillId="23" borderId="23" xfId="7" applyFont="1" applyFill="1" applyBorder="1" applyAlignment="1">
      <alignment horizontal="center" vertical="center"/>
    </xf>
    <xf numFmtId="0" fontId="25" fillId="23" borderId="30" xfId="7" applyFont="1" applyFill="1" applyBorder="1" applyAlignment="1">
      <alignment horizontal="right" vertical="top" wrapText="1"/>
    </xf>
    <xf numFmtId="0" fontId="22" fillId="14" borderId="23" xfId="7" applyFont="1" applyFill="1" applyBorder="1" applyAlignment="1">
      <alignment horizontal="center" vertical="center"/>
    </xf>
    <xf numFmtId="0" fontId="22" fillId="14" borderId="28" xfId="7" applyFont="1" applyFill="1" applyBorder="1" applyAlignment="1">
      <alignment horizontal="right" vertical="top" wrapText="1"/>
    </xf>
    <xf numFmtId="169" fontId="23" fillId="24" borderId="23" xfId="1" applyNumberFormat="1" applyFont="1" applyFill="1" applyBorder="1" applyAlignment="1">
      <alignment vertical="top"/>
    </xf>
    <xf numFmtId="169" fontId="23" fillId="24" borderId="24" xfId="1" applyNumberFormat="1" applyFont="1" applyFill="1" applyBorder="1" applyAlignment="1">
      <alignment vertical="top"/>
    </xf>
    <xf numFmtId="3" fontId="20" fillId="24" borderId="25" xfId="7" applyNumberFormat="1" applyFont="1" applyFill="1" applyBorder="1" applyAlignment="1">
      <alignment vertical="top"/>
    </xf>
    <xf numFmtId="169" fontId="23" fillId="24" borderId="26" xfId="1" applyNumberFormat="1" applyFont="1" applyFill="1" applyBorder="1" applyAlignment="1">
      <alignment vertical="top"/>
    </xf>
    <xf numFmtId="3" fontId="21" fillId="24" borderId="27" xfId="7" applyNumberFormat="1" applyFont="1" applyFill="1" applyBorder="1" applyAlignment="1">
      <alignment vertical="top"/>
    </xf>
    <xf numFmtId="0" fontId="23" fillId="0" borderId="31" xfId="7" applyFont="1" applyBorder="1" applyAlignment="1">
      <alignment horizontal="right" vertical="top" wrapText="1"/>
    </xf>
    <xf numFmtId="169" fontId="23" fillId="24" borderId="25" xfId="1" applyNumberFormat="1" applyFont="1" applyFill="1" applyBorder="1" applyAlignment="1">
      <alignment vertical="top"/>
    </xf>
    <xf numFmtId="169" fontId="23" fillId="18" borderId="26" xfId="1" applyNumberFormat="1" applyFont="1" applyFill="1" applyBorder="1" applyAlignment="1">
      <alignment vertical="top"/>
    </xf>
    <xf numFmtId="169" fontId="23" fillId="0" borderId="33" xfId="1" applyNumberFormat="1" applyFont="1" applyBorder="1" applyAlignment="1">
      <alignment vertical="top"/>
    </xf>
    <xf numFmtId="41" fontId="23" fillId="0" borderId="21" xfId="7" applyNumberFormat="1" applyFont="1" applyBorder="1"/>
    <xf numFmtId="41" fontId="20" fillId="0" borderId="34" xfId="7" applyNumberFormat="1" applyFont="1" applyBorder="1" applyAlignment="1">
      <alignment vertical="top"/>
    </xf>
    <xf numFmtId="0" fontId="22" fillId="18" borderId="26" xfId="7" applyFont="1" applyFill="1" applyBorder="1" applyAlignment="1">
      <alignment vertical="top"/>
    </xf>
    <xf numFmtId="169" fontId="22" fillId="18" borderId="26" xfId="1" applyNumberFormat="1" applyFont="1" applyFill="1" applyBorder="1" applyAlignment="1">
      <alignment vertical="top"/>
    </xf>
    <xf numFmtId="0" fontId="26" fillId="0" borderId="0" xfId="4" applyFont="1"/>
    <xf numFmtId="0" fontId="26" fillId="17" borderId="0" xfId="4" applyFont="1" applyFill="1"/>
    <xf numFmtId="0" fontId="26" fillId="19" borderId="0" xfId="4" applyFont="1" applyFill="1"/>
    <xf numFmtId="0" fontId="26" fillId="0" borderId="0" xfId="4" applyFont="1" applyAlignment="1">
      <alignment horizontal="left"/>
    </xf>
    <xf numFmtId="0" fontId="27" fillId="0" borderId="0" xfId="4" applyFont="1"/>
    <xf numFmtId="43" fontId="26" fillId="0" borderId="0" xfId="4" applyNumberFormat="1" applyFont="1"/>
    <xf numFmtId="168" fontId="26" fillId="0" borderId="0" xfId="4" applyNumberFormat="1" applyFont="1"/>
    <xf numFmtId="0" fontId="28" fillId="0" borderId="0" xfId="6" applyFont="1"/>
    <xf numFmtId="0" fontId="29" fillId="11" borderId="0" xfId="6" applyFont="1" applyFill="1"/>
    <xf numFmtId="0" fontId="28" fillId="0" borderId="7" xfId="6" applyFont="1" applyBorder="1" applyAlignment="1">
      <alignment horizontal="center"/>
    </xf>
    <xf numFmtId="0" fontId="28" fillId="0" borderId="7" xfId="6" applyFont="1" applyBorder="1"/>
    <xf numFmtId="0" fontId="29" fillId="0" borderId="14" xfId="6" applyFont="1" applyBorder="1" applyAlignment="1">
      <alignment horizontal="center" vertical="center" wrapText="1"/>
    </xf>
    <xf numFmtId="0" fontId="29" fillId="0" borderId="16" xfId="6" applyFont="1" applyBorder="1" applyAlignment="1">
      <alignment horizontal="center" vertical="center" wrapText="1"/>
    </xf>
    <xf numFmtId="0" fontId="29" fillId="0" borderId="15" xfId="6" applyFont="1" applyBorder="1" applyAlignment="1">
      <alignment horizontal="center" vertical="center" wrapText="1"/>
    </xf>
    <xf numFmtId="166" fontId="28" fillId="0" borderId="11" xfId="6" applyNumberFormat="1" applyFont="1" applyBorder="1" applyAlignment="1">
      <alignment horizontal="center"/>
    </xf>
    <xf numFmtId="0" fontId="29" fillId="5" borderId="11" xfId="6" applyFont="1" applyFill="1" applyBorder="1"/>
    <xf numFmtId="0" fontId="29" fillId="5" borderId="12" xfId="6" applyFont="1" applyFill="1" applyBorder="1"/>
    <xf numFmtId="43" fontId="28" fillId="0" borderId="12" xfId="6" applyNumberFormat="1" applyFont="1" applyBorder="1"/>
    <xf numFmtId="43" fontId="28" fillId="0" borderId="13" xfId="6" applyNumberFormat="1" applyFont="1" applyBorder="1"/>
    <xf numFmtId="0" fontId="26" fillId="19" borderId="23" xfId="7" applyFont="1" applyFill="1" applyBorder="1" applyAlignment="1">
      <alignment horizontal="left" vertical="center"/>
    </xf>
    <xf numFmtId="0" fontId="30" fillId="19" borderId="30" xfId="7" applyFont="1" applyFill="1" applyBorder="1" applyAlignment="1">
      <alignment horizontal="left" vertical="top" wrapText="1"/>
    </xf>
    <xf numFmtId="0" fontId="28" fillId="0" borderId="11" xfId="6" applyFont="1" applyBorder="1"/>
    <xf numFmtId="0" fontId="28" fillId="0" borderId="12" xfId="6" applyFont="1" applyBorder="1"/>
    <xf numFmtId="0" fontId="28" fillId="17" borderId="28" xfId="7" applyFont="1" applyFill="1" applyBorder="1" applyAlignment="1">
      <alignment horizontal="left" vertical="top" wrapText="1"/>
    </xf>
    <xf numFmtId="0" fontId="28" fillId="0" borderId="28" xfId="7" applyFont="1" applyBorder="1" applyAlignment="1">
      <alignment horizontal="left" vertical="top" wrapText="1"/>
    </xf>
    <xf numFmtId="0" fontId="28" fillId="0" borderId="31" xfId="7" applyFont="1" applyBorder="1" applyAlignment="1">
      <alignment horizontal="left" vertical="top" wrapText="1"/>
    </xf>
    <xf numFmtId="0" fontId="28" fillId="0" borderId="29" xfId="7" applyFont="1" applyBorder="1" applyAlignment="1">
      <alignment horizontal="left" vertical="top" wrapText="1"/>
    </xf>
    <xf numFmtId="0" fontId="26" fillId="20" borderId="23" xfId="7" applyFont="1" applyFill="1" applyBorder="1" applyAlignment="1">
      <alignment horizontal="center" vertical="center"/>
    </xf>
    <xf numFmtId="0" fontId="30" fillId="20" borderId="30" xfId="7" applyFont="1" applyFill="1" applyBorder="1" applyAlignment="1">
      <alignment horizontal="left" vertical="top" wrapText="1"/>
    </xf>
    <xf numFmtId="0" fontId="26" fillId="0" borderId="28" xfId="7" applyFont="1" applyBorder="1" applyAlignment="1">
      <alignment horizontal="left" vertical="top" wrapText="1"/>
    </xf>
    <xf numFmtId="0" fontId="28" fillId="0" borderId="24" xfId="7" applyFont="1" applyBorder="1" applyAlignment="1">
      <alignment horizontal="left" vertical="top" wrapText="1"/>
    </xf>
    <xf numFmtId="0" fontId="26" fillId="22" borderId="23" xfId="7" applyFont="1" applyFill="1" applyBorder="1" applyAlignment="1">
      <alignment horizontal="center" vertical="center"/>
    </xf>
    <xf numFmtId="0" fontId="30" fillId="22" borderId="30" xfId="7" applyFont="1" applyFill="1" applyBorder="1" applyAlignment="1">
      <alignment horizontal="left" vertical="top" wrapText="1"/>
    </xf>
    <xf numFmtId="0" fontId="26" fillId="21" borderId="23" xfId="7" applyFont="1" applyFill="1" applyBorder="1" applyAlignment="1">
      <alignment horizontal="center" vertical="center"/>
    </xf>
    <xf numFmtId="0" fontId="30" fillId="21" borderId="30" xfId="7" applyFont="1" applyFill="1" applyBorder="1" applyAlignment="1">
      <alignment horizontal="left" vertical="top" wrapText="1"/>
    </xf>
    <xf numFmtId="0" fontId="27" fillId="21" borderId="23" xfId="7" applyFont="1" applyFill="1" applyBorder="1" applyAlignment="1">
      <alignment horizontal="center" vertical="center"/>
    </xf>
    <xf numFmtId="0" fontId="26" fillId="12" borderId="23" xfId="7" applyFont="1" applyFill="1" applyBorder="1" applyAlignment="1">
      <alignment horizontal="center" vertical="center"/>
    </xf>
    <xf numFmtId="0" fontId="30" fillId="12" borderId="30" xfId="7" applyFont="1" applyFill="1" applyBorder="1" applyAlignment="1">
      <alignment horizontal="left" vertical="top" wrapText="1"/>
    </xf>
    <xf numFmtId="0" fontId="27" fillId="12" borderId="23" xfId="7" applyFont="1" applyFill="1" applyBorder="1" applyAlignment="1">
      <alignment horizontal="center" vertical="center"/>
    </xf>
    <xf numFmtId="0" fontId="26" fillId="23" borderId="23" xfId="7" applyFont="1" applyFill="1" applyBorder="1" applyAlignment="1">
      <alignment horizontal="center" vertical="center"/>
    </xf>
    <xf numFmtId="0" fontId="30" fillId="23" borderId="30" xfId="7" applyFont="1" applyFill="1" applyBorder="1" applyAlignment="1">
      <alignment horizontal="left" vertical="top" wrapText="1"/>
    </xf>
    <xf numFmtId="0" fontId="26" fillId="0" borderId="29" xfId="7" applyFont="1" applyBorder="1" applyAlignment="1">
      <alignment horizontal="left" vertical="top" wrapText="1"/>
    </xf>
    <xf numFmtId="0" fontId="26" fillId="14" borderId="23" xfId="7" applyFont="1" applyFill="1" applyBorder="1" applyAlignment="1">
      <alignment horizontal="center" vertical="center"/>
    </xf>
    <xf numFmtId="43" fontId="28" fillId="0" borderId="0" xfId="6" applyNumberFormat="1" applyFont="1"/>
    <xf numFmtId="16" fontId="28" fillId="0" borderId="14" xfId="6" applyNumberFormat="1" applyFont="1" applyBorder="1" applyAlignment="1">
      <alignment horizontal="center"/>
    </xf>
    <xf numFmtId="0" fontId="29" fillId="0" borderId="1" xfId="6" applyFont="1" applyBorder="1"/>
    <xf numFmtId="0" fontId="29" fillId="0" borderId="18" xfId="6" applyFont="1" applyBorder="1"/>
    <xf numFmtId="0" fontId="28" fillId="0" borderId="8" xfId="6" applyFont="1" applyBorder="1" applyAlignment="1">
      <alignment horizontal="center"/>
    </xf>
    <xf numFmtId="0" fontId="28" fillId="0" borderId="8" xfId="6" applyFont="1" applyBorder="1"/>
    <xf numFmtId="0" fontId="29" fillId="0" borderId="9" xfId="6" applyFont="1" applyBorder="1" applyAlignment="1">
      <alignment horizontal="center"/>
    </xf>
    <xf numFmtId="0" fontId="29" fillId="0" borderId="10" xfId="6" applyFont="1" applyBorder="1" applyAlignment="1">
      <alignment horizontal="center"/>
    </xf>
    <xf numFmtId="0" fontId="29" fillId="0" borderId="14" xfId="6" applyFont="1" applyBorder="1" applyAlignment="1">
      <alignment horizontal="center" vertical="center"/>
    </xf>
    <xf numFmtId="0" fontId="29" fillId="0" borderId="16" xfId="6" applyFont="1" applyBorder="1" applyAlignment="1">
      <alignment horizontal="center" vertical="center"/>
    </xf>
    <xf numFmtId="0" fontId="29" fillId="0" borderId="15" xfId="6" applyFont="1" applyBorder="1" applyAlignment="1">
      <alignment horizontal="center" vertical="center"/>
    </xf>
    <xf numFmtId="16" fontId="28" fillId="0" borderId="0" xfId="6" applyNumberFormat="1" applyFont="1" applyAlignment="1">
      <alignment horizontal="center"/>
    </xf>
    <xf numFmtId="0" fontId="29" fillId="0" borderId="2" xfId="6" applyFont="1" applyBorder="1"/>
    <xf numFmtId="0" fontId="29" fillId="0" borderId="3" xfId="6" applyFont="1" applyBorder="1"/>
    <xf numFmtId="43" fontId="29" fillId="0" borderId="4" xfId="6" applyNumberFormat="1" applyFont="1" applyBorder="1"/>
    <xf numFmtId="43" fontId="29" fillId="0" borderId="0" xfId="6" applyNumberFormat="1" applyFont="1"/>
    <xf numFmtId="0" fontId="29" fillId="8" borderId="2" xfId="6" applyFont="1" applyFill="1" applyBorder="1"/>
    <xf numFmtId="0" fontId="29" fillId="8" borderId="3" xfId="6" applyFont="1" applyFill="1" applyBorder="1"/>
    <xf numFmtId="0" fontId="29" fillId="8" borderId="5" xfId="6" applyFont="1" applyFill="1" applyBorder="1"/>
    <xf numFmtId="0" fontId="29" fillId="8" borderId="0" xfId="6" applyFont="1" applyFill="1"/>
    <xf numFmtId="43" fontId="28" fillId="0" borderId="0" xfId="6" applyNumberFormat="1" applyFont="1" applyAlignment="1">
      <alignment horizontal="left"/>
    </xf>
    <xf numFmtId="43" fontId="28" fillId="0" borderId="0" xfId="0" applyNumberFormat="1" applyFont="1"/>
    <xf numFmtId="43" fontId="28" fillId="0" borderId="3" xfId="6" applyNumberFormat="1" applyFont="1" applyBorder="1"/>
    <xf numFmtId="167" fontId="28" fillId="0" borderId="0" xfId="6" applyNumberFormat="1" applyFont="1" applyAlignment="1">
      <alignment horizontal="center"/>
    </xf>
    <xf numFmtId="0" fontId="28" fillId="0" borderId="0" xfId="6" applyFont="1" applyAlignment="1">
      <alignment horizontal="center"/>
    </xf>
    <xf numFmtId="0" fontId="29" fillId="8" borderId="6" xfId="6" applyFont="1" applyFill="1" applyBorder="1"/>
    <xf numFmtId="0" fontId="29" fillId="8" borderId="7" xfId="6" applyFont="1" applyFill="1" applyBorder="1"/>
    <xf numFmtId="43" fontId="26" fillId="0" borderId="3" xfId="4" applyNumberFormat="1" applyFont="1" applyBorder="1"/>
    <xf numFmtId="164" fontId="28" fillId="0" borderId="0" xfId="6" applyNumberFormat="1" applyFont="1"/>
    <xf numFmtId="43" fontId="26" fillId="0" borderId="0" xfId="1" applyFont="1"/>
    <xf numFmtId="43" fontId="27" fillId="0" borderId="20" xfId="4" applyNumberFormat="1" applyFont="1" applyBorder="1"/>
    <xf numFmtId="44" fontId="19" fillId="0" borderId="17" xfId="1" applyNumberFormat="1" applyFont="1" applyBorder="1"/>
    <xf numFmtId="4" fontId="14" fillId="0" borderId="3" xfId="5" applyNumberFormat="1" applyFont="1" applyBorder="1" applyAlignment="1">
      <alignment vertical="center"/>
    </xf>
    <xf numFmtId="7" fontId="26" fillId="0" borderId="0" xfId="4" applyNumberFormat="1" applyFont="1"/>
    <xf numFmtId="164" fontId="26" fillId="0" borderId="0" xfId="4" applyNumberFormat="1" applyFont="1"/>
    <xf numFmtId="0" fontId="22" fillId="0" borderId="30" xfId="7" applyFont="1" applyBorder="1" applyAlignment="1">
      <alignment vertical="top" wrapText="1"/>
    </xf>
    <xf numFmtId="0" fontId="25" fillId="19" borderId="27" xfId="7" applyFont="1" applyFill="1" applyBorder="1" applyAlignment="1">
      <alignment horizontal="right" vertical="top" wrapText="1"/>
    </xf>
    <xf numFmtId="3" fontId="20" fillId="0" borderId="27" xfId="7" applyNumberFormat="1" applyFont="1" applyBorder="1" applyAlignment="1">
      <alignment vertical="top"/>
    </xf>
    <xf numFmtId="3" fontId="20" fillId="24" borderId="27" xfId="7" applyNumberFormat="1" applyFont="1" applyFill="1" applyBorder="1" applyAlignment="1">
      <alignment vertical="top"/>
    </xf>
    <xf numFmtId="0" fontId="23" fillId="0" borderId="31" xfId="7" applyFont="1" applyBorder="1" applyAlignment="1">
      <alignment horizontal="left" vertical="top" wrapText="1"/>
    </xf>
    <xf numFmtId="3" fontId="22" fillId="18" borderId="23" xfId="7" applyNumberFormat="1" applyFont="1" applyFill="1" applyBorder="1" applyAlignment="1">
      <alignment vertical="top"/>
    </xf>
    <xf numFmtId="3" fontId="22" fillId="18" borderId="25" xfId="7" applyNumberFormat="1" applyFont="1" applyFill="1" applyBorder="1" applyAlignment="1">
      <alignment vertical="top"/>
    </xf>
    <xf numFmtId="169" fontId="22" fillId="18" borderId="25" xfId="1" applyNumberFormat="1" applyFont="1" applyFill="1" applyBorder="1" applyAlignment="1">
      <alignment vertical="top"/>
    </xf>
    <xf numFmtId="169" fontId="23" fillId="18" borderId="25" xfId="1" applyNumberFormat="1" applyFont="1" applyFill="1" applyBorder="1" applyAlignment="1">
      <alignment vertical="top"/>
    </xf>
    <xf numFmtId="0" fontId="22" fillId="20" borderId="26" xfId="7" applyFont="1" applyFill="1" applyBorder="1" applyAlignment="1">
      <alignment horizontal="center" vertical="center"/>
    </xf>
    <xf numFmtId="0" fontId="23" fillId="0" borderId="26" xfId="7" applyFont="1" applyBorder="1" applyAlignment="1">
      <alignment horizontal="left" vertical="top" wrapText="1"/>
    </xf>
    <xf numFmtId="0" fontId="22" fillId="22" borderId="25" xfId="7" applyFont="1" applyFill="1" applyBorder="1" applyAlignment="1">
      <alignment horizontal="center" vertical="center"/>
    </xf>
    <xf numFmtId="0" fontId="23" fillId="0" borderId="25" xfId="7" applyFont="1" applyBorder="1" applyAlignment="1">
      <alignment horizontal="left" vertical="top" wrapText="1"/>
    </xf>
    <xf numFmtId="0" fontId="22" fillId="20" borderId="27" xfId="7" applyFont="1" applyFill="1" applyBorder="1" applyAlignment="1">
      <alignment horizontal="center" vertical="center"/>
    </xf>
    <xf numFmtId="0" fontId="25" fillId="20" borderId="32" xfId="7" applyFont="1" applyFill="1" applyBorder="1" applyAlignment="1">
      <alignment horizontal="right" vertical="top" wrapText="1"/>
    </xf>
    <xf numFmtId="41" fontId="20" fillId="24" borderId="27" xfId="7" applyNumberFormat="1" applyFont="1" applyFill="1" applyBorder="1" applyAlignment="1">
      <alignment vertical="top"/>
    </xf>
    <xf numFmtId="3" fontId="20" fillId="0" borderId="27" xfId="7" applyNumberFormat="1" applyFont="1" applyBorder="1" applyAlignment="1">
      <alignment horizontal="left" vertical="top"/>
    </xf>
    <xf numFmtId="0" fontId="22" fillId="21" borderId="26" xfId="7" applyFont="1" applyFill="1" applyBorder="1" applyAlignment="1">
      <alignment horizontal="center" vertical="center"/>
    </xf>
    <xf numFmtId="0" fontId="22" fillId="0" borderId="25" xfId="7" applyFont="1" applyBorder="1" applyAlignment="1">
      <alignment horizontal="center" vertical="center"/>
    </xf>
    <xf numFmtId="0" fontId="20" fillId="0" borderId="30" xfId="7" applyFont="1" applyBorder="1" applyAlignment="1">
      <alignment horizontal="right" vertical="top" wrapText="1"/>
    </xf>
    <xf numFmtId="0" fontId="22" fillId="21" borderId="27" xfId="7" applyFont="1" applyFill="1" applyBorder="1" applyAlignment="1">
      <alignment horizontal="center" vertical="center"/>
    </xf>
    <xf numFmtId="0" fontId="25" fillId="21" borderId="32" xfId="7" applyFont="1" applyFill="1" applyBorder="1" applyAlignment="1">
      <alignment horizontal="right" vertical="top" wrapText="1"/>
    </xf>
    <xf numFmtId="169" fontId="23" fillId="19" borderId="26" xfId="1" applyNumberFormat="1" applyFont="1" applyFill="1" applyBorder="1" applyAlignment="1">
      <alignment vertical="top"/>
    </xf>
    <xf numFmtId="169" fontId="23" fillId="19" borderId="25" xfId="1" applyNumberFormat="1" applyFont="1" applyFill="1" applyBorder="1" applyAlignment="1">
      <alignment vertical="top"/>
    </xf>
    <xf numFmtId="169" fontId="20" fillId="19" borderId="23" xfId="1" applyNumberFormat="1" applyFont="1" applyFill="1" applyBorder="1" applyAlignment="1">
      <alignment vertical="top"/>
    </xf>
    <xf numFmtId="169" fontId="23" fillId="19" borderId="23" xfId="1" applyNumberFormat="1" applyFont="1" applyFill="1" applyBorder="1" applyAlignment="1">
      <alignment vertical="top"/>
    </xf>
    <xf numFmtId="41" fontId="20" fillId="19" borderId="34" xfId="7" applyNumberFormat="1" applyFont="1" applyFill="1" applyBorder="1" applyAlignment="1">
      <alignment vertical="top"/>
    </xf>
    <xf numFmtId="169" fontId="23" fillId="19" borderId="33" xfId="1" applyNumberFormat="1" applyFont="1" applyFill="1" applyBorder="1" applyAlignment="1">
      <alignment vertical="top"/>
    </xf>
    <xf numFmtId="41" fontId="23" fillId="19" borderId="21" xfId="7" applyNumberFormat="1" applyFont="1" applyFill="1" applyBorder="1"/>
    <xf numFmtId="3" fontId="22" fillId="18" borderId="26" xfId="7" applyNumberFormat="1" applyFont="1" applyFill="1" applyBorder="1" applyAlignment="1">
      <alignment vertical="top"/>
    </xf>
    <xf numFmtId="0" fontId="21" fillId="0" borderId="28" xfId="7" applyFont="1" applyBorder="1" applyAlignment="1">
      <alignment horizontal="center" vertical="top" wrapText="1"/>
    </xf>
    <xf numFmtId="44" fontId="12" fillId="17" borderId="40" xfId="1" applyNumberFormat="1" applyFont="1" applyFill="1" applyBorder="1"/>
    <xf numFmtId="4" fontId="14" fillId="17" borderId="46" xfId="1" applyNumberFormat="1" applyFont="1" applyFill="1" applyBorder="1"/>
    <xf numFmtId="4" fontId="14" fillId="17" borderId="47" xfId="0" applyNumberFormat="1" applyFont="1" applyFill="1" applyBorder="1"/>
    <xf numFmtId="4" fontId="14" fillId="0" borderId="47" xfId="0" applyNumberFormat="1" applyFont="1" applyBorder="1"/>
    <xf numFmtId="4" fontId="13" fillId="17" borderId="47" xfId="0" applyNumberFormat="1" applyFont="1" applyFill="1" applyBorder="1"/>
    <xf numFmtId="4" fontId="13" fillId="0" borderId="47" xfId="0" applyNumberFormat="1" applyFont="1" applyBorder="1"/>
    <xf numFmtId="168" fontId="20" fillId="0" borderId="47" xfId="6" applyNumberFormat="1" applyFont="1" applyBorder="1"/>
    <xf numFmtId="4" fontId="13" fillId="14" borderId="47" xfId="0" applyNumberFormat="1" applyFont="1" applyFill="1" applyBorder="1"/>
    <xf numFmtId="4" fontId="14" fillId="0" borderId="48" xfId="0" applyNumberFormat="1" applyFont="1" applyBorder="1"/>
    <xf numFmtId="2" fontId="14" fillId="17" borderId="47" xfId="0" applyNumberFormat="1" applyFont="1" applyFill="1" applyBorder="1"/>
    <xf numFmtId="0" fontId="16" fillId="17" borderId="0" xfId="0" applyFont="1" applyFill="1" applyAlignment="1">
      <alignment vertical="top"/>
    </xf>
    <xf numFmtId="0" fontId="13" fillId="17" borderId="0" xfId="0" applyFont="1" applyFill="1"/>
    <xf numFmtId="164" fontId="26" fillId="0" borderId="10" xfId="4" applyNumberFormat="1" applyFont="1" applyBorder="1"/>
    <xf numFmtId="164" fontId="26" fillId="17" borderId="0" xfId="4" applyNumberFormat="1" applyFont="1" applyFill="1"/>
    <xf numFmtId="0" fontId="26" fillId="0" borderId="0" xfId="4" applyFont="1" applyAlignment="1">
      <alignment horizontal="center"/>
    </xf>
    <xf numFmtId="170" fontId="28" fillId="0" borderId="7" xfId="6" applyNumberFormat="1" applyFont="1" applyBorder="1" applyAlignment="1">
      <alignment horizontal="center"/>
    </xf>
    <xf numFmtId="170" fontId="29" fillId="0" borderId="14" xfId="6" applyNumberFormat="1" applyFont="1" applyBorder="1" applyAlignment="1">
      <alignment horizontal="center" vertical="center" wrapText="1"/>
    </xf>
    <xf numFmtId="170" fontId="26" fillId="0" borderId="0" xfId="4" applyNumberFormat="1" applyFont="1" applyAlignment="1">
      <alignment horizontal="center"/>
    </xf>
    <xf numFmtId="170" fontId="28" fillId="0" borderId="8" xfId="6" applyNumberFormat="1" applyFont="1" applyBorder="1" applyAlignment="1">
      <alignment horizontal="center"/>
    </xf>
    <xf numFmtId="170" fontId="28" fillId="0" borderId="0" xfId="6" applyNumberFormat="1" applyFont="1" applyAlignment="1">
      <alignment horizontal="center"/>
    </xf>
    <xf numFmtId="170" fontId="28" fillId="0" borderId="14" xfId="6" applyNumberFormat="1" applyFont="1" applyBorder="1" applyAlignment="1">
      <alignment horizontal="center" vertical="center"/>
    </xf>
    <xf numFmtId="43" fontId="28" fillId="0" borderId="7" xfId="6" applyNumberFormat="1" applyFont="1" applyBorder="1"/>
    <xf numFmtId="43" fontId="29" fillId="13" borderId="10" xfId="6" applyNumberFormat="1" applyFont="1" applyFill="1" applyBorder="1" applyAlignment="1">
      <alignment horizontal="center" vertical="center"/>
    </xf>
    <xf numFmtId="43" fontId="29" fillId="0" borderId="17" xfId="6" applyNumberFormat="1" applyFont="1" applyBorder="1" applyAlignment="1">
      <alignment horizontal="center" vertical="center" wrapText="1"/>
    </xf>
    <xf numFmtId="43" fontId="29" fillId="0" borderId="15" xfId="6" applyNumberFormat="1" applyFont="1" applyBorder="1"/>
    <xf numFmtId="43" fontId="28" fillId="0" borderId="4" xfId="6" applyNumberFormat="1" applyFont="1" applyBorder="1"/>
    <xf numFmtId="43" fontId="29" fillId="0" borderId="17" xfId="6" applyNumberFormat="1" applyFont="1" applyBorder="1" applyAlignment="1">
      <alignment horizontal="center" vertical="center"/>
    </xf>
    <xf numFmtId="43" fontId="29" fillId="8" borderId="0" xfId="6" applyNumberFormat="1" applyFont="1" applyFill="1"/>
    <xf numFmtId="43" fontId="27" fillId="8" borderId="0" xfId="4" applyNumberFormat="1" applyFont="1" applyFill="1"/>
    <xf numFmtId="43" fontId="29" fillId="8" borderId="7" xfId="6" applyNumberFormat="1" applyFont="1" applyFill="1" applyBorder="1"/>
    <xf numFmtId="0" fontId="29" fillId="0" borderId="12" xfId="6" applyFont="1" applyBorder="1"/>
    <xf numFmtId="43" fontId="29" fillId="0" borderId="16" xfId="6" applyNumberFormat="1" applyFont="1" applyBorder="1" applyAlignment="1">
      <alignment horizontal="center" vertical="center" wrapText="1"/>
    </xf>
    <xf numFmtId="43" fontId="29" fillId="0" borderId="18" xfId="6" applyNumberFormat="1" applyFont="1" applyBorder="1"/>
    <xf numFmtId="43" fontId="28" fillId="0" borderId="19" xfId="6" applyNumberFormat="1" applyFont="1" applyBorder="1"/>
    <xf numFmtId="43" fontId="29" fillId="0" borderId="16" xfId="6" applyNumberFormat="1" applyFont="1" applyBorder="1" applyAlignment="1">
      <alignment horizontal="center" vertical="center"/>
    </xf>
    <xf numFmtId="43" fontId="29" fillId="0" borderId="5" xfId="6" applyNumberFormat="1" applyFont="1" applyBorder="1"/>
    <xf numFmtId="0" fontId="29" fillId="11" borderId="0" xfId="6" applyFont="1" applyFill="1" applyAlignment="1">
      <alignment horizontal="center"/>
    </xf>
    <xf numFmtId="0" fontId="29" fillId="0" borderId="0" xfId="6" applyFont="1" applyBorder="1" applyAlignment="1">
      <alignment horizontal="center" vertical="center" wrapText="1"/>
    </xf>
    <xf numFmtId="43" fontId="28" fillId="0" borderId="0" xfId="6" applyNumberFormat="1" applyFont="1" applyBorder="1"/>
    <xf numFmtId="43" fontId="29" fillId="17" borderId="13" xfId="6" applyNumberFormat="1" applyFont="1" applyFill="1" applyBorder="1"/>
    <xf numFmtId="43" fontId="28" fillId="0" borderId="0" xfId="6" applyNumberFormat="1" applyFont="1" applyFill="1" applyBorder="1"/>
    <xf numFmtId="44" fontId="12" fillId="17" borderId="43" xfId="1" applyNumberFormat="1" applyFont="1" applyFill="1" applyBorder="1"/>
    <xf numFmtId="0" fontId="27" fillId="14" borderId="28" xfId="7" applyFont="1" applyFill="1" applyBorder="1" applyAlignment="1">
      <alignment horizontal="left" vertical="top" wrapText="1"/>
    </xf>
    <xf numFmtId="43" fontId="26" fillId="17" borderId="0" xfId="4" applyNumberFormat="1" applyFont="1" applyFill="1"/>
    <xf numFmtId="43" fontId="29" fillId="0" borderId="13" xfId="6" applyNumberFormat="1" applyFont="1" applyFill="1" applyBorder="1"/>
    <xf numFmtId="0" fontId="26" fillId="0" borderId="0" xfId="4" applyFont="1" applyFill="1"/>
    <xf numFmtId="43" fontId="26" fillId="0" borderId="0" xfId="4" applyNumberFormat="1" applyFont="1" applyFill="1"/>
    <xf numFmtId="0" fontId="12" fillId="0" borderId="35" xfId="0" applyFont="1" applyBorder="1"/>
    <xf numFmtId="0" fontId="12" fillId="0" borderId="36" xfId="0" applyFont="1" applyBorder="1"/>
    <xf numFmtId="0" fontId="12" fillId="0" borderId="38" xfId="0" applyFont="1" applyBorder="1"/>
    <xf numFmtId="0" fontId="12" fillId="0" borderId="39" xfId="0" applyFont="1" applyBorder="1"/>
    <xf numFmtId="8" fontId="12" fillId="17" borderId="37" xfId="0" applyNumberFormat="1" applyFont="1" applyFill="1" applyBorder="1"/>
    <xf numFmtId="8" fontId="12" fillId="17" borderId="40" xfId="1" applyNumberFormat="1" applyFont="1" applyFill="1" applyBorder="1"/>
    <xf numFmtId="8" fontId="12" fillId="17" borderId="40" xfId="0" applyNumberFormat="1" applyFont="1" applyFill="1" applyBorder="1"/>
    <xf numFmtId="0" fontId="14" fillId="7" borderId="0" xfId="0" applyFont="1" applyFill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20" fillId="18" borderId="27" xfId="7" applyNumberFormat="1" applyFont="1" applyFill="1" applyBorder="1" applyAlignment="1">
      <alignment vertical="top"/>
    </xf>
    <xf numFmtId="0" fontId="23" fillId="18" borderId="23" xfId="7" applyFont="1" applyFill="1" applyBorder="1" applyAlignment="1">
      <alignment horizontal="right" vertical="top"/>
    </xf>
    <xf numFmtId="0" fontId="22" fillId="18" borderId="25" xfId="7" applyFont="1" applyFill="1" applyBorder="1" applyAlignment="1">
      <alignment vertical="top"/>
    </xf>
    <xf numFmtId="3" fontId="22" fillId="18" borderId="24" xfId="7" applyNumberFormat="1" applyFont="1" applyFill="1" applyBorder="1" applyAlignment="1">
      <alignment vertical="top"/>
    </xf>
    <xf numFmtId="169" fontId="22" fillId="18" borderId="24" xfId="1" applyNumberFormat="1" applyFont="1" applyFill="1" applyBorder="1" applyAlignment="1">
      <alignment vertical="top"/>
    </xf>
    <xf numFmtId="169" fontId="23" fillId="18" borderId="24" xfId="1" applyNumberFormat="1" applyFont="1" applyFill="1" applyBorder="1" applyAlignment="1">
      <alignment vertical="top"/>
    </xf>
    <xf numFmtId="3" fontId="20" fillId="18" borderId="25" xfId="7" applyNumberFormat="1" applyFont="1" applyFill="1" applyBorder="1" applyAlignment="1">
      <alignment vertical="top"/>
    </xf>
    <xf numFmtId="0" fontId="22" fillId="18" borderId="23" xfId="7" applyFont="1" applyFill="1" applyBorder="1" applyAlignment="1">
      <alignment vertical="top"/>
    </xf>
    <xf numFmtId="0" fontId="20" fillId="18" borderId="25" xfId="7" applyFont="1" applyFill="1" applyBorder="1" applyAlignment="1">
      <alignment horizontal="right" vertical="top"/>
    </xf>
    <xf numFmtId="3" fontId="21" fillId="18" borderId="25" xfId="7" applyNumberFormat="1" applyFont="1" applyFill="1" applyBorder="1" applyAlignment="1">
      <alignment vertical="top"/>
    </xf>
    <xf numFmtId="3" fontId="21" fillId="18" borderId="27" xfId="7" applyNumberFormat="1" applyFont="1" applyFill="1" applyBorder="1" applyAlignment="1">
      <alignment vertical="top"/>
    </xf>
    <xf numFmtId="0" fontId="20" fillId="18" borderId="25" xfId="7" applyFont="1" applyFill="1" applyBorder="1" applyAlignment="1">
      <alignment vertical="top"/>
    </xf>
    <xf numFmtId="0" fontId="21" fillId="18" borderId="23" xfId="7" applyFont="1" applyFill="1" applyBorder="1" applyAlignment="1">
      <alignment vertical="top"/>
    </xf>
    <xf numFmtId="0" fontId="21" fillId="18" borderId="23" xfId="7" applyFont="1" applyFill="1" applyBorder="1" applyAlignment="1">
      <alignment horizontal="center" vertical="top"/>
    </xf>
    <xf numFmtId="169" fontId="21" fillId="18" borderId="23" xfId="1" applyNumberFormat="1" applyFont="1" applyFill="1" applyBorder="1" applyAlignment="1">
      <alignment vertical="top"/>
    </xf>
    <xf numFmtId="169" fontId="20" fillId="18" borderId="23" xfId="1" applyNumberFormat="1" applyFont="1" applyFill="1" applyBorder="1" applyAlignment="1">
      <alignment vertical="top"/>
    </xf>
    <xf numFmtId="169" fontId="22" fillId="18" borderId="23" xfId="1" applyNumberFormat="1" applyFont="1" applyFill="1" applyBorder="1" applyAlignment="1">
      <alignment horizontal="right" vertical="top"/>
    </xf>
    <xf numFmtId="41" fontId="22" fillId="18" borderId="23" xfId="7" applyNumberFormat="1" applyFont="1" applyFill="1" applyBorder="1" applyAlignment="1">
      <alignment vertical="top"/>
    </xf>
    <xf numFmtId="169" fontId="22" fillId="18" borderId="26" xfId="1" applyNumberFormat="1" applyFont="1" applyFill="1" applyBorder="1" applyAlignment="1">
      <alignment horizontal="right" vertical="top"/>
    </xf>
    <xf numFmtId="41" fontId="22" fillId="18" borderId="26" xfId="7" applyNumberFormat="1" applyFont="1" applyFill="1" applyBorder="1" applyAlignment="1">
      <alignment vertical="top"/>
    </xf>
    <xf numFmtId="41" fontId="21" fillId="18" borderId="34" xfId="7" applyNumberFormat="1" applyFont="1" applyFill="1" applyBorder="1" applyAlignment="1">
      <alignment vertical="top"/>
    </xf>
    <xf numFmtId="41" fontId="20" fillId="18" borderId="34" xfId="7" applyNumberFormat="1" applyFont="1" applyFill="1" applyBorder="1" applyAlignment="1">
      <alignment vertical="top"/>
    </xf>
    <xf numFmtId="4" fontId="22" fillId="18" borderId="25" xfId="7" applyNumberFormat="1" applyFont="1" applyFill="1" applyBorder="1" applyAlignment="1">
      <alignment vertical="top"/>
    </xf>
    <xf numFmtId="169" fontId="23" fillId="18" borderId="23" xfId="1" applyNumberFormat="1" applyFont="1" applyFill="1" applyBorder="1" applyAlignment="1">
      <alignment horizontal="right" vertical="top"/>
    </xf>
    <xf numFmtId="169" fontId="25" fillId="18" borderId="0" xfId="1" applyNumberFormat="1" applyFont="1" applyFill="1" applyAlignment="1">
      <alignment horizontal="right" vertical="top"/>
    </xf>
    <xf numFmtId="3" fontId="22" fillId="18" borderId="33" xfId="7" applyNumberFormat="1" applyFont="1" applyFill="1" applyBorder="1" applyAlignment="1">
      <alignment vertical="top"/>
    </xf>
    <xf numFmtId="169" fontId="22" fillId="18" borderId="33" xfId="1" applyNumberFormat="1" applyFont="1" applyFill="1" applyBorder="1" applyAlignment="1">
      <alignment vertical="top"/>
    </xf>
    <xf numFmtId="169" fontId="23" fillId="18" borderId="33" xfId="1" applyNumberFormat="1" applyFont="1" applyFill="1" applyBorder="1" applyAlignment="1">
      <alignment vertical="top"/>
    </xf>
    <xf numFmtId="0" fontId="22" fillId="18" borderId="0" xfId="7" applyFont="1" applyFill="1"/>
    <xf numFmtId="41" fontId="23" fillId="18" borderId="21" xfId="7" applyNumberFormat="1" applyFont="1" applyFill="1" applyBorder="1"/>
    <xf numFmtId="171" fontId="26" fillId="0" borderId="0" xfId="4" applyNumberFormat="1" applyFont="1" applyAlignment="1">
      <alignment horizontal="center"/>
    </xf>
    <xf numFmtId="171" fontId="28" fillId="0" borderId="11" xfId="6" applyNumberFormat="1" applyFont="1" applyBorder="1" applyAlignment="1">
      <alignment horizontal="center"/>
    </xf>
    <xf numFmtId="171" fontId="28" fillId="0" borderId="14" xfId="6" applyNumberFormat="1" applyFont="1" applyBorder="1" applyAlignment="1">
      <alignment horizontal="center"/>
    </xf>
    <xf numFmtId="43" fontId="29" fillId="17" borderId="3" xfId="6" applyNumberFormat="1" applyFont="1" applyFill="1" applyBorder="1"/>
    <xf numFmtId="49" fontId="3" fillId="17" borderId="0" xfId="0" applyNumberFormat="1" applyFont="1" applyFill="1"/>
    <xf numFmtId="169" fontId="23" fillId="17" borderId="23" xfId="1" applyNumberFormat="1" applyFont="1" applyFill="1" applyBorder="1" applyAlignment="1">
      <alignment vertical="top"/>
    </xf>
    <xf numFmtId="169" fontId="23" fillId="0" borderId="23" xfId="1" applyNumberFormat="1" applyFont="1" applyFill="1" applyBorder="1" applyAlignment="1">
      <alignment vertical="top"/>
    </xf>
    <xf numFmtId="0" fontId="22" fillId="17" borderId="0" xfId="7" applyFont="1" applyFill="1"/>
    <xf numFmtId="0" fontId="31" fillId="0" borderId="36" xfId="0" applyFont="1" applyBorder="1"/>
    <xf numFmtId="0" fontId="31" fillId="0" borderId="39" xfId="0" applyFont="1" applyBorder="1"/>
    <xf numFmtId="0" fontId="12" fillId="0" borderId="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9" fillId="10" borderId="22" xfId="6" applyFont="1" applyFill="1" applyBorder="1" applyAlignment="1">
      <alignment horizontal="center" vertical="center"/>
    </xf>
    <xf numFmtId="0" fontId="29" fillId="10" borderId="10" xfId="6" applyFont="1" applyFill="1" applyBorder="1" applyAlignment="1">
      <alignment horizontal="center" vertical="center"/>
    </xf>
    <xf numFmtId="0" fontId="29" fillId="11" borderId="5" xfId="6" applyFont="1" applyFill="1" applyBorder="1" applyAlignment="1">
      <alignment horizontal="center"/>
    </xf>
    <xf numFmtId="0" fontId="29" fillId="11" borderId="0" xfId="6" applyFont="1" applyFill="1" applyAlignment="1">
      <alignment horizontal="center"/>
    </xf>
    <xf numFmtId="43" fontId="29" fillId="0" borderId="0" xfId="6" applyNumberFormat="1" applyFont="1" applyAlignment="1">
      <alignment horizontal="right"/>
    </xf>
    <xf numFmtId="0" fontId="29" fillId="9" borderId="5" xfId="6" applyFont="1" applyFill="1" applyBorder="1" applyAlignment="1">
      <alignment horizontal="center" vertical="center"/>
    </xf>
    <xf numFmtId="0" fontId="29" fillId="9" borderId="0" xfId="6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12" fillId="0" borderId="38" xfId="0" applyFont="1" applyBorder="1"/>
    <xf numFmtId="0" fontId="12" fillId="0" borderId="39" xfId="0" applyFont="1" applyBorder="1"/>
    <xf numFmtId="0" fontId="12" fillId="0" borderId="41" xfId="0" applyFont="1" applyBorder="1"/>
    <xf numFmtId="0" fontId="12" fillId="0" borderId="42" xfId="0" applyFont="1" applyBorder="1"/>
    <xf numFmtId="0" fontId="13" fillId="0" borderId="44" xfId="0" applyFont="1" applyBorder="1" applyAlignment="1">
      <alignment horizontal="left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0" borderId="53" xfId="0" applyFont="1" applyFill="1" applyBorder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5 2" xfId="7" xr:uid="{00000000-0005-0000-0000-000006000000}"/>
    <cellStyle name="Normal_Accounts 2002-03 - Period 3" xfId="6" xr:uid="{00000000-0005-0000-0000-000007000000}"/>
  </cellStyles>
  <dxfs count="68"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opLeftCell="B1" zoomScaleNormal="100" workbookViewId="0">
      <pane xSplit="6" ySplit="3" topLeftCell="H61" activePane="bottomRight" state="frozen"/>
      <selection activeCell="B1" sqref="B1"/>
      <selection pane="topRight" activeCell="G1" sqref="G1"/>
      <selection pane="bottomLeft" activeCell="B4" sqref="B4"/>
      <selection pane="bottomRight" activeCell="R18" sqref="R18"/>
    </sheetView>
  </sheetViews>
  <sheetFormatPr defaultColWidth="11.42578125" defaultRowHeight="12.75" x14ac:dyDescent="0.2"/>
  <cols>
    <col min="1" max="1" width="22.85546875" style="55" customWidth="1"/>
    <col min="2" max="2" width="4.7109375" style="44" customWidth="1"/>
    <col min="3" max="3" width="22.5703125" style="49" bestFit="1" customWidth="1"/>
    <col min="4" max="4" width="11" style="49" customWidth="1"/>
    <col min="5" max="12" width="11" style="55" customWidth="1"/>
    <col min="13" max="13" width="39.5703125" style="55" customWidth="1"/>
    <col min="14" max="16384" width="11.42578125" style="55"/>
  </cols>
  <sheetData>
    <row r="1" spans="1:13" x14ac:dyDescent="0.2">
      <c r="A1" s="54" t="s">
        <v>89</v>
      </c>
      <c r="B1" s="42"/>
      <c r="D1" s="45"/>
      <c r="E1" s="46"/>
    </row>
    <row r="2" spans="1:13" x14ac:dyDescent="0.2">
      <c r="D2" s="55"/>
      <c r="G2" s="47"/>
      <c r="H2" s="47"/>
      <c r="I2" s="47"/>
      <c r="J2" s="47"/>
      <c r="K2" s="47"/>
      <c r="L2" s="47"/>
      <c r="M2" s="48"/>
    </row>
    <row r="3" spans="1:13" ht="59.25" x14ac:dyDescent="0.2">
      <c r="B3" s="43" t="s">
        <v>149</v>
      </c>
      <c r="D3" s="50" t="s">
        <v>106</v>
      </c>
      <c r="E3" s="50" t="s">
        <v>107</v>
      </c>
      <c r="F3" s="50" t="s">
        <v>108</v>
      </c>
      <c r="G3" s="50" t="s">
        <v>130</v>
      </c>
      <c r="H3" s="50" t="s">
        <v>133</v>
      </c>
      <c r="I3" s="50" t="s">
        <v>140</v>
      </c>
      <c r="J3" s="50" t="s">
        <v>211</v>
      </c>
      <c r="K3" s="51" t="s">
        <v>209</v>
      </c>
      <c r="L3" s="50" t="s">
        <v>210</v>
      </c>
      <c r="M3" s="52" t="s">
        <v>76</v>
      </c>
    </row>
    <row r="4" spans="1:13" ht="25.5" x14ac:dyDescent="0.2">
      <c r="A4" s="56"/>
      <c r="B4" s="85">
        <v>1</v>
      </c>
      <c r="C4" s="77" t="s">
        <v>141</v>
      </c>
      <c r="D4" s="196">
        <v>10000</v>
      </c>
      <c r="E4" s="196">
        <v>13000</v>
      </c>
      <c r="F4" s="67">
        <v>13000</v>
      </c>
      <c r="G4" s="68">
        <v>9200</v>
      </c>
      <c r="H4" s="68">
        <v>2500</v>
      </c>
      <c r="I4" s="68">
        <v>2000</v>
      </c>
      <c r="J4" s="68">
        <v>2358.75</v>
      </c>
      <c r="K4" s="100">
        <f>SUMIFS(Cashbook!$G$8:$G$143,Cashbook!$J$8:$J$143,"Community fund",Cashbook!$K$8:$K$143,1)</f>
        <v>2450</v>
      </c>
      <c r="L4" s="57">
        <v>3500</v>
      </c>
      <c r="M4" s="58" t="s">
        <v>178</v>
      </c>
    </row>
    <row r="5" spans="1:13" ht="25.5" x14ac:dyDescent="0.2">
      <c r="A5" s="56"/>
      <c r="B5" s="85">
        <v>2</v>
      </c>
      <c r="C5" s="77" t="s">
        <v>177</v>
      </c>
      <c r="D5" s="196"/>
      <c r="E5" s="196"/>
      <c r="F5" s="67">
        <v>50</v>
      </c>
      <c r="G5" s="68">
        <v>200</v>
      </c>
      <c r="H5" s="68">
        <v>1000</v>
      </c>
      <c r="I5" s="68">
        <v>1000</v>
      </c>
      <c r="J5" s="68">
        <v>2181.34</v>
      </c>
      <c r="K5" s="100">
        <f>SUMIFS(Cashbook!$G$8:$G$143,Cashbook!$J$8:$J$143,"Community fund",Cashbook!$K$8:$K$143,2)</f>
        <v>0</v>
      </c>
      <c r="L5" s="57">
        <v>1000</v>
      </c>
      <c r="M5" s="58" t="s">
        <v>179</v>
      </c>
    </row>
    <row r="6" spans="1:13" x14ac:dyDescent="0.2">
      <c r="A6" s="56"/>
      <c r="B6" s="85">
        <v>3</v>
      </c>
      <c r="C6" s="77" t="s">
        <v>46</v>
      </c>
      <c r="D6" s="196"/>
      <c r="E6" s="196"/>
      <c r="F6" s="67"/>
      <c r="G6" s="68"/>
      <c r="H6" s="68">
        <v>10176</v>
      </c>
      <c r="I6" s="68"/>
      <c r="J6" s="68">
        <v>0</v>
      </c>
      <c r="K6" s="100">
        <f>SUMIFS(Cashbook!$G$8:$G$143,Cashbook!$J$8:$J$143,"Community fund",Cashbook!$K$8:$K$143,3)</f>
        <v>0</v>
      </c>
      <c r="L6" s="57"/>
      <c r="M6" s="58"/>
    </row>
    <row r="7" spans="1:13" x14ac:dyDescent="0.2">
      <c r="A7" s="56"/>
      <c r="B7" s="85">
        <v>4</v>
      </c>
      <c r="C7" s="105" t="s">
        <v>164</v>
      </c>
      <c r="D7" s="220"/>
      <c r="E7" s="220"/>
      <c r="F7" s="112"/>
      <c r="G7" s="107"/>
      <c r="H7" s="107"/>
      <c r="I7" s="107">
        <v>1000</v>
      </c>
      <c r="J7" s="107">
        <v>1100</v>
      </c>
      <c r="K7" s="100">
        <f>SUMIFS(Cashbook!$G$8:$G$143,Cashbook!$J$8:$J$143,"Community fund",Cashbook!$K$8:$K$143,4)</f>
        <v>0</v>
      </c>
      <c r="L7" s="69">
        <v>1100</v>
      </c>
      <c r="M7" s="58"/>
    </row>
    <row r="8" spans="1:13" ht="25.5" x14ac:dyDescent="0.2">
      <c r="A8" s="56"/>
      <c r="B8" s="85">
        <v>6</v>
      </c>
      <c r="C8" s="105" t="s">
        <v>180</v>
      </c>
      <c r="D8" s="220"/>
      <c r="E8" s="220"/>
      <c r="F8" s="112"/>
      <c r="G8" s="107"/>
      <c r="H8" s="107">
        <v>11305</v>
      </c>
      <c r="I8" s="107">
        <v>500</v>
      </c>
      <c r="J8" s="107">
        <v>310</v>
      </c>
      <c r="K8" s="100">
        <f>SUMIFS(Cashbook!$G$8:$G$143,Cashbook!$J$8:$J$143,"Community fund",Cashbook!$K$8:$K$143,6)</f>
        <v>0</v>
      </c>
      <c r="L8" s="69">
        <v>500</v>
      </c>
      <c r="M8" s="58" t="s">
        <v>200</v>
      </c>
    </row>
    <row r="9" spans="1:13" x14ac:dyDescent="0.2">
      <c r="A9" s="56"/>
      <c r="B9" s="85">
        <v>1</v>
      </c>
      <c r="C9" s="195" t="s">
        <v>174</v>
      </c>
      <c r="D9" s="220"/>
      <c r="E9" s="220"/>
      <c r="F9" s="112"/>
      <c r="G9" s="107"/>
      <c r="H9" s="107"/>
      <c r="I9" s="107"/>
      <c r="J9" s="107">
        <v>0</v>
      </c>
      <c r="K9" s="213">
        <f>-SUMIFS(Cashbook!$F$8:$F$143,Cashbook!$J$8:$J$143,"Community fund",Cashbook!$K$8:$K$143,2)</f>
        <v>0</v>
      </c>
      <c r="L9" s="69"/>
      <c r="M9" s="201" t="s">
        <v>214</v>
      </c>
    </row>
    <row r="10" spans="1:13" ht="13.5" thickBot="1" x14ac:dyDescent="0.25">
      <c r="A10" s="56"/>
      <c r="B10" s="85"/>
      <c r="C10" s="192" t="s">
        <v>88</v>
      </c>
      <c r="D10" s="289">
        <f>SUM(D4:D8)</f>
        <v>10000</v>
      </c>
      <c r="E10" s="289">
        <f>SUM(E4:E8)</f>
        <v>13000</v>
      </c>
      <c r="F10" s="289">
        <f>SUM(F4:F8)</f>
        <v>13050</v>
      </c>
      <c r="G10" s="289">
        <f>SUM(G4:G8)</f>
        <v>9400</v>
      </c>
      <c r="H10" s="289">
        <f>SUM(H4:H8)</f>
        <v>24981</v>
      </c>
      <c r="I10" s="289">
        <v>3500</v>
      </c>
      <c r="J10" s="289">
        <v>5950.09</v>
      </c>
      <c r="K10" s="194">
        <f>SUM(K4:K9)</f>
        <v>2450</v>
      </c>
      <c r="L10" s="193">
        <f>SUM(L4:L8)</f>
        <v>6100</v>
      </c>
      <c r="M10" s="62"/>
    </row>
    <row r="11" spans="1:13" ht="13.5" thickTop="1" x14ac:dyDescent="0.2">
      <c r="A11" s="63" t="s">
        <v>12</v>
      </c>
      <c r="B11" s="89">
        <v>1</v>
      </c>
      <c r="C11" s="80" t="s">
        <v>175</v>
      </c>
      <c r="D11" s="196"/>
      <c r="E11" s="196"/>
      <c r="F11" s="67"/>
      <c r="G11" s="68"/>
      <c r="H11" s="68"/>
      <c r="I11" s="68">
        <v>0</v>
      </c>
      <c r="J11" s="68">
        <v>380</v>
      </c>
      <c r="K11" s="68">
        <f>SUMIFS(Cashbook!$G$8:$G$143,Cashbook!$J$8:$J$143,"Projects",Cashbook!$K$8:$K$143,1)</f>
        <v>0</v>
      </c>
      <c r="L11" s="325">
        <v>5500</v>
      </c>
      <c r="M11" s="58"/>
    </row>
    <row r="12" spans="1:13" x14ac:dyDescent="0.2">
      <c r="A12" s="56"/>
      <c r="B12" s="89">
        <v>2</v>
      </c>
      <c r="C12" s="77"/>
      <c r="D12" s="196"/>
      <c r="E12" s="196"/>
      <c r="F12" s="67"/>
      <c r="G12" s="68"/>
      <c r="H12" s="68"/>
      <c r="I12" s="68"/>
      <c r="J12" s="68"/>
      <c r="K12" s="100"/>
      <c r="L12" s="325"/>
      <c r="M12" s="58"/>
    </row>
    <row r="13" spans="1:13" ht="25.5" x14ac:dyDescent="0.2">
      <c r="A13" s="56"/>
      <c r="B13" s="89">
        <v>3</v>
      </c>
      <c r="C13" s="77" t="s">
        <v>110</v>
      </c>
      <c r="D13" s="196"/>
      <c r="E13" s="196"/>
      <c r="F13" s="67">
        <v>150</v>
      </c>
      <c r="G13" s="68">
        <v>150</v>
      </c>
      <c r="H13" s="68">
        <v>200</v>
      </c>
      <c r="I13" s="68">
        <v>0</v>
      </c>
      <c r="J13" s="68">
        <v>0</v>
      </c>
      <c r="K13" s="100">
        <f>SUMIFS(Cashbook!$G$8:$G$143,Cashbook!$J$8:$J$143,"Projects",Cashbook!$K$8:$K$143,3)</f>
        <v>0</v>
      </c>
      <c r="L13" s="325">
        <v>2000</v>
      </c>
      <c r="M13" s="58" t="s">
        <v>161</v>
      </c>
    </row>
    <row r="14" spans="1:13" ht="25.5" x14ac:dyDescent="0.2">
      <c r="A14" s="56"/>
      <c r="B14" s="89">
        <v>4</v>
      </c>
      <c r="C14" s="77" t="s">
        <v>111</v>
      </c>
      <c r="D14" s="290"/>
      <c r="E14" s="196">
        <v>600</v>
      </c>
      <c r="F14" s="67">
        <v>560</v>
      </c>
      <c r="G14" s="68">
        <v>1560</v>
      </c>
      <c r="H14" s="68">
        <v>1060</v>
      </c>
      <c r="I14" s="68">
        <v>1060</v>
      </c>
      <c r="J14" s="68">
        <v>0</v>
      </c>
      <c r="K14" s="100">
        <f>SUMIFS(Cashbook!$G$8:$G$143,Cashbook!$J$8:$J$143,"Projects",Cashbook!$K$8:$K$143,4)</f>
        <v>0</v>
      </c>
      <c r="L14" s="325"/>
      <c r="M14" s="58" t="s">
        <v>201</v>
      </c>
    </row>
    <row r="15" spans="1:13" x14ac:dyDescent="0.2">
      <c r="A15" s="56"/>
      <c r="B15" s="89">
        <v>5</v>
      </c>
      <c r="C15" s="77" t="s">
        <v>112</v>
      </c>
      <c r="D15" s="65"/>
      <c r="E15" s="66"/>
      <c r="F15" s="67">
        <v>1626</v>
      </c>
      <c r="G15" s="68">
        <v>3000</v>
      </c>
      <c r="H15" s="68">
        <v>3000</v>
      </c>
      <c r="I15" s="68">
        <v>4000</v>
      </c>
      <c r="J15" s="68">
        <v>4322.8999999999996</v>
      </c>
      <c r="K15" s="100">
        <f>SUMIFS(Cashbook!$G$8:$G$143,Cashbook!$J$8:$J$143,"Projects",Cashbook!$K$8:$K$143,5)</f>
        <v>341.11</v>
      </c>
      <c r="L15" s="325">
        <v>4000</v>
      </c>
      <c r="M15" s="58"/>
    </row>
    <row r="16" spans="1:13" x14ac:dyDescent="0.2">
      <c r="A16" s="56"/>
      <c r="B16" s="89">
        <v>6</v>
      </c>
      <c r="C16" s="77" t="s">
        <v>120</v>
      </c>
      <c r="D16" s="290"/>
      <c r="E16" s="196"/>
      <c r="F16" s="67">
        <v>1000</v>
      </c>
      <c r="G16" s="68">
        <v>1000</v>
      </c>
      <c r="H16" s="68">
        <v>2300</v>
      </c>
      <c r="I16" s="68">
        <v>100</v>
      </c>
      <c r="J16" s="68">
        <v>0</v>
      </c>
      <c r="K16" s="100">
        <f>SUMIFS(Cashbook!$G$8:$G$143,Cashbook!$J$8:$J$143,"Projects",Cashbook!$K$8:$K$143,6)</f>
        <v>0</v>
      </c>
      <c r="L16" s="325">
        <v>50</v>
      </c>
      <c r="M16" s="58"/>
    </row>
    <row r="17" spans="1:13" x14ac:dyDescent="0.2">
      <c r="A17" s="56"/>
      <c r="B17" s="89">
        <v>7</v>
      </c>
      <c r="C17" s="77" t="s">
        <v>121</v>
      </c>
      <c r="D17" s="290"/>
      <c r="E17" s="196"/>
      <c r="F17" s="67">
        <v>250</v>
      </c>
      <c r="G17" s="68">
        <v>250</v>
      </c>
      <c r="H17" s="68">
        <v>0</v>
      </c>
      <c r="I17" s="68">
        <v>0</v>
      </c>
      <c r="J17" s="68">
        <v>0</v>
      </c>
      <c r="K17" s="100">
        <f>SUMIFS(Cashbook!$G$8:$G$143,Cashbook!$J$8:$J$143,"Projects",Cashbook!$K$8:$K$143,7)</f>
        <v>0</v>
      </c>
      <c r="L17" s="325">
        <v>250</v>
      </c>
      <c r="M17" s="58" t="s">
        <v>181</v>
      </c>
    </row>
    <row r="18" spans="1:13" x14ac:dyDescent="0.2">
      <c r="A18" s="56"/>
      <c r="B18" s="89">
        <v>8</v>
      </c>
      <c r="C18" s="77" t="s">
        <v>122</v>
      </c>
      <c r="D18" s="290"/>
      <c r="E18" s="196"/>
      <c r="F18" s="67">
        <v>250</v>
      </c>
      <c r="G18" s="68">
        <v>250</v>
      </c>
      <c r="H18" s="68">
        <v>250</v>
      </c>
      <c r="I18" s="68">
        <v>250</v>
      </c>
      <c r="J18" s="68">
        <v>0</v>
      </c>
      <c r="K18" s="100">
        <f>SUMIFS(Cashbook!$G$8:$G$143,Cashbook!$J$8:$J$143,"Projects",Cashbook!$K$8:$K$143,8)</f>
        <v>0</v>
      </c>
      <c r="L18" s="325">
        <v>100</v>
      </c>
      <c r="M18" s="58" t="s">
        <v>113</v>
      </c>
    </row>
    <row r="19" spans="1:13" x14ac:dyDescent="0.2">
      <c r="A19" s="56"/>
      <c r="B19" s="89">
        <v>9</v>
      </c>
      <c r="C19" s="77" t="s">
        <v>114</v>
      </c>
      <c r="D19" s="290"/>
      <c r="E19" s="196"/>
      <c r="F19" s="67">
        <v>500</v>
      </c>
      <c r="G19" s="68">
        <v>500</v>
      </c>
      <c r="H19" s="68">
        <v>500</v>
      </c>
      <c r="I19" s="68"/>
      <c r="J19" s="68">
        <v>0</v>
      </c>
      <c r="K19" s="100">
        <f>SUMIFS(Cashbook!$G$8:$G$143,Cashbook!$J$8:$J$143,"Projects",Cashbook!$K$8:$K$143,9)</f>
        <v>0</v>
      </c>
      <c r="L19" s="325">
        <v>250</v>
      </c>
      <c r="M19" s="58" t="s">
        <v>182</v>
      </c>
    </row>
    <row r="20" spans="1:13" x14ac:dyDescent="0.2">
      <c r="A20" s="56"/>
      <c r="B20" s="89">
        <v>10</v>
      </c>
      <c r="C20" s="77" t="s">
        <v>136</v>
      </c>
      <c r="D20" s="65"/>
      <c r="E20" s="66"/>
      <c r="F20" s="67"/>
      <c r="G20" s="68"/>
      <c r="H20" s="68">
        <v>11305</v>
      </c>
      <c r="I20" s="68">
        <v>5000</v>
      </c>
      <c r="J20" s="68">
        <v>11306.02</v>
      </c>
      <c r="K20" s="100">
        <f>SUMIFS(Cashbook!$G$8:$G$143,Cashbook!$J$8:$J$143,"Projects",Cashbook!$K$8:$K$143,10)</f>
        <v>0</v>
      </c>
      <c r="L20" s="325">
        <v>3000</v>
      </c>
      <c r="M20" s="58" t="s">
        <v>199</v>
      </c>
    </row>
    <row r="21" spans="1:13" x14ac:dyDescent="0.2">
      <c r="A21" s="56"/>
      <c r="B21" s="89">
        <v>12</v>
      </c>
      <c r="C21" s="77" t="s">
        <v>158</v>
      </c>
      <c r="D21" s="290"/>
      <c r="E21" s="196"/>
      <c r="F21" s="67"/>
      <c r="G21" s="68"/>
      <c r="H21" s="68"/>
      <c r="I21" s="68"/>
      <c r="J21" s="68">
        <v>687.67</v>
      </c>
      <c r="K21" s="100">
        <f>SUMIFS(Cashbook!$G$8:$G$143,Cashbook!$J$8:$J$143,"Projects",Cashbook!$K$8:$K$143,12)</f>
        <v>0</v>
      </c>
      <c r="L21" s="325">
        <v>500</v>
      </c>
      <c r="M21" s="58"/>
    </row>
    <row r="22" spans="1:13" x14ac:dyDescent="0.2">
      <c r="A22" s="56"/>
      <c r="B22" s="200"/>
      <c r="C22" s="195" t="s">
        <v>174</v>
      </c>
      <c r="D22" s="220"/>
      <c r="E22" s="220"/>
      <c r="F22" s="112"/>
      <c r="G22" s="107"/>
      <c r="H22" s="107"/>
      <c r="I22" s="107"/>
      <c r="J22" s="107">
        <v>-30</v>
      </c>
      <c r="K22" s="213">
        <f>-SUMIFS(Cashbook!$F$8:$F$143,Cashbook!$J$8:$J$143,"Projects",Cashbook!$K$8:$K$143,1)</f>
        <v>0</v>
      </c>
      <c r="L22" s="69"/>
      <c r="M22" s="201"/>
    </row>
    <row r="23" spans="1:13" ht="13.5" thickBot="1" x14ac:dyDescent="0.25">
      <c r="A23" s="56"/>
      <c r="B23" s="204"/>
      <c r="C23" s="205" t="s">
        <v>87</v>
      </c>
      <c r="D23" s="289">
        <f>SUM(D11:D21)</f>
        <v>0</v>
      </c>
      <c r="E23" s="289">
        <f>SUM(E11:E21)</f>
        <v>600</v>
      </c>
      <c r="F23" s="289">
        <f>SUM(F11:F21)</f>
        <v>4336</v>
      </c>
      <c r="G23" s="289">
        <f>SUM(G11:G21)</f>
        <v>6710</v>
      </c>
      <c r="H23" s="289">
        <f>SUM(H11:H21)</f>
        <v>18615</v>
      </c>
      <c r="I23" s="289">
        <v>11410</v>
      </c>
      <c r="J23" s="289">
        <v>16666.59</v>
      </c>
      <c r="K23" s="194">
        <f>SUM(K11:K22)</f>
        <v>341.11</v>
      </c>
      <c r="L23" s="206">
        <f>SUM(L11:L21)</f>
        <v>15650</v>
      </c>
      <c r="M23" s="207"/>
    </row>
    <row r="24" spans="1:13" ht="13.5" thickTop="1" x14ac:dyDescent="0.2">
      <c r="A24" s="56"/>
      <c r="B24" s="202"/>
      <c r="C24" s="191"/>
      <c r="D24" s="291"/>
      <c r="E24" s="197"/>
      <c r="F24" s="198"/>
      <c r="G24" s="199"/>
      <c r="H24" s="199"/>
      <c r="I24" s="199"/>
      <c r="J24" s="199"/>
      <c r="K24" s="106"/>
      <c r="L24" s="72"/>
      <c r="M24" s="203"/>
    </row>
    <row r="25" spans="1:13" x14ac:dyDescent="0.2">
      <c r="A25" s="63" t="s">
        <v>13</v>
      </c>
      <c r="B25" s="94">
        <v>1</v>
      </c>
      <c r="C25" s="77" t="s">
        <v>78</v>
      </c>
      <c r="D25" s="196">
        <v>4300</v>
      </c>
      <c r="E25" s="196">
        <v>6000</v>
      </c>
      <c r="F25" s="67">
        <v>6000</v>
      </c>
      <c r="G25" s="68">
        <v>4000</v>
      </c>
      <c r="H25" s="68">
        <v>5000</v>
      </c>
      <c r="I25" s="68">
        <v>4000</v>
      </c>
      <c r="J25" s="68">
        <v>4010</v>
      </c>
      <c r="K25" s="100">
        <f>SUMIFS(Cashbook!$G$8:$G$143,Cashbook!$J$8:$J$143,"Maintenance",Cashbook!$K$8:$K$143,1)</f>
        <v>1200</v>
      </c>
      <c r="L25" s="57">
        <v>4000</v>
      </c>
      <c r="M25" s="58" t="s">
        <v>137</v>
      </c>
    </row>
    <row r="26" spans="1:13" x14ac:dyDescent="0.2">
      <c r="A26" s="56"/>
      <c r="B26" s="94">
        <v>2</v>
      </c>
      <c r="C26" s="77" t="s">
        <v>14</v>
      </c>
      <c r="D26" s="196">
        <v>1000</v>
      </c>
      <c r="E26" s="196">
        <v>1000</v>
      </c>
      <c r="F26" s="67">
        <v>1000</v>
      </c>
      <c r="G26" s="68">
        <v>1000</v>
      </c>
      <c r="H26" s="68">
        <v>500</v>
      </c>
      <c r="I26" s="68">
        <v>500</v>
      </c>
      <c r="J26" s="68">
        <v>137.5</v>
      </c>
      <c r="K26" s="100">
        <f>SUMIFS(Cashbook!$G$8:$G$143,Cashbook!$J$8:$J$143,"Maintenance",Cashbook!$K$8:$K$143,2)</f>
        <v>243.5</v>
      </c>
      <c r="L26" s="57">
        <v>250</v>
      </c>
      <c r="M26" s="58" t="s">
        <v>123</v>
      </c>
    </row>
    <row r="27" spans="1:13" ht="13.5" thickBot="1" x14ac:dyDescent="0.25">
      <c r="A27" s="56"/>
      <c r="B27" s="94">
        <v>3</v>
      </c>
      <c r="C27" s="59" t="s">
        <v>152</v>
      </c>
      <c r="D27" s="292"/>
      <c r="E27" s="292"/>
      <c r="F27" s="293"/>
      <c r="G27" s="294"/>
      <c r="H27" s="294"/>
      <c r="I27" s="294">
        <v>100</v>
      </c>
      <c r="J27" s="294">
        <v>730</v>
      </c>
      <c r="K27" s="101">
        <f>SUMIFS(Cashbook!$G$8:$G$143,Cashbook!$J$8:$J$143,"Maintenance",Cashbook!$K$8:$K$143,3)</f>
        <v>0</v>
      </c>
      <c r="L27" s="60"/>
      <c r="M27" s="58" t="s">
        <v>162</v>
      </c>
    </row>
    <row r="28" spans="1:13" x14ac:dyDescent="0.2">
      <c r="A28" s="56"/>
      <c r="B28" s="94"/>
      <c r="C28" s="95" t="s">
        <v>86</v>
      </c>
      <c r="D28" s="295">
        <f>SUM(D25:D26)</f>
        <v>5300</v>
      </c>
      <c r="E28" s="295">
        <f>SUM(E25:E26)</f>
        <v>7000</v>
      </c>
      <c r="F28" s="295">
        <f>SUM(F25:F26)</f>
        <v>7000</v>
      </c>
      <c r="G28" s="295">
        <f>SUM(G25:G26)</f>
        <v>5000</v>
      </c>
      <c r="H28" s="295">
        <f>SUM(H25:H26)</f>
        <v>5500</v>
      </c>
      <c r="I28" s="295">
        <v>4600</v>
      </c>
      <c r="J28" s="295">
        <v>4877.5</v>
      </c>
      <c r="K28" s="102">
        <f>SUM(K25:K27)</f>
        <v>1443.5</v>
      </c>
      <c r="L28" s="61">
        <f>SUM(L25:L27)</f>
        <v>4250</v>
      </c>
      <c r="M28" s="62"/>
    </row>
    <row r="29" spans="1:13" x14ac:dyDescent="0.2">
      <c r="A29" s="56"/>
      <c r="B29" s="90"/>
      <c r="C29" s="79"/>
      <c r="D29" s="296"/>
      <c r="E29" s="196"/>
      <c r="F29" s="67"/>
      <c r="G29" s="68"/>
      <c r="H29" s="68"/>
      <c r="I29" s="68"/>
      <c r="J29" s="68"/>
      <c r="K29" s="100"/>
      <c r="L29" s="57"/>
      <c r="M29" s="58"/>
    </row>
    <row r="30" spans="1:13" x14ac:dyDescent="0.2">
      <c r="A30" s="63" t="s">
        <v>15</v>
      </c>
      <c r="B30" s="91">
        <v>1</v>
      </c>
      <c r="C30" s="80" t="s">
        <v>11</v>
      </c>
      <c r="D30" s="196">
        <v>8000</v>
      </c>
      <c r="E30" s="196">
        <v>7000</v>
      </c>
      <c r="F30" s="67">
        <v>4000</v>
      </c>
      <c r="G30" s="68">
        <v>6500</v>
      </c>
      <c r="H30" s="68">
        <v>6500</v>
      </c>
      <c r="I30" s="68">
        <v>4000</v>
      </c>
      <c r="J30" s="68">
        <v>3904.62</v>
      </c>
      <c r="K30" s="100">
        <f>SUMIFS(Cashbook!$G$8:$G$143,Cashbook!$J$8:$J$143,"Running costs",Cashbook!$K$8:$K$143,1)</f>
        <v>620.47</v>
      </c>
      <c r="L30" s="57">
        <v>3500</v>
      </c>
      <c r="M30" s="58" t="s">
        <v>213</v>
      </c>
    </row>
    <row r="31" spans="1:13" x14ac:dyDescent="0.2">
      <c r="A31" s="56"/>
      <c r="B31" s="90">
        <v>2</v>
      </c>
      <c r="C31" s="80" t="s">
        <v>16</v>
      </c>
      <c r="D31" s="196">
        <v>270</v>
      </c>
      <c r="E31" s="196">
        <v>400</v>
      </c>
      <c r="F31" s="67">
        <v>1000</v>
      </c>
      <c r="G31" s="68">
        <v>1000</v>
      </c>
      <c r="H31" s="68">
        <v>1000</v>
      </c>
      <c r="I31" s="68"/>
      <c r="J31" s="68">
        <v>200</v>
      </c>
      <c r="K31" s="100">
        <f>SUMIFS(Cashbook!$G$8:$G$143,Cashbook!$J$8:$J$143,"Running costs",Cashbook!$K$8:$K$143,2)</f>
        <v>54.48</v>
      </c>
      <c r="L31" s="57">
        <v>500</v>
      </c>
      <c r="M31" s="58" t="s">
        <v>212</v>
      </c>
    </row>
    <row r="32" spans="1:13" x14ac:dyDescent="0.2">
      <c r="A32" s="56"/>
      <c r="B32" s="90">
        <v>3</v>
      </c>
      <c r="C32" s="77" t="s">
        <v>124</v>
      </c>
      <c r="D32" s="196">
        <v>200</v>
      </c>
      <c r="E32" s="196">
        <v>200</v>
      </c>
      <c r="F32" s="67">
        <v>200</v>
      </c>
      <c r="G32" s="68"/>
      <c r="H32" s="68"/>
      <c r="I32" s="68"/>
      <c r="J32" s="68">
        <v>212.43</v>
      </c>
      <c r="K32" s="100">
        <f>SUMIFS(Cashbook!$G$8:$G$143,Cashbook!$J$8:$J$143,"Running costs",Cashbook!$K$8:$K$143,3)</f>
        <v>0</v>
      </c>
      <c r="L32" s="57">
        <v>50</v>
      </c>
      <c r="M32" s="58"/>
    </row>
    <row r="33" spans="1:13" x14ac:dyDescent="0.2">
      <c r="A33" s="56"/>
      <c r="B33" s="90">
        <v>4</v>
      </c>
      <c r="C33" s="77" t="s">
        <v>151</v>
      </c>
      <c r="D33" s="196">
        <v>320</v>
      </c>
      <c r="E33" s="196">
        <v>300</v>
      </c>
      <c r="F33" s="67">
        <v>300</v>
      </c>
      <c r="G33" s="68">
        <v>0</v>
      </c>
      <c r="H33" s="68"/>
      <c r="I33" s="68">
        <v>300</v>
      </c>
      <c r="J33" s="68">
        <v>616.10000000000014</v>
      </c>
      <c r="K33" s="100">
        <f>SUMIFS(Cashbook!$G$8:$G$143,Cashbook!$J$8:$J$143,"Running costs",Cashbook!$K$8:$K$143,4)</f>
        <v>190.16</v>
      </c>
      <c r="L33" s="57">
        <v>600</v>
      </c>
      <c r="M33" s="58" t="s">
        <v>153</v>
      </c>
    </row>
    <row r="34" spans="1:13" x14ac:dyDescent="0.2">
      <c r="A34" s="56"/>
      <c r="B34" s="90">
        <v>5</v>
      </c>
      <c r="C34" s="77" t="s">
        <v>125</v>
      </c>
      <c r="D34" s="196"/>
      <c r="E34" s="196"/>
      <c r="F34" s="67"/>
      <c r="G34" s="68">
        <v>50</v>
      </c>
      <c r="H34" s="68">
        <v>50</v>
      </c>
      <c r="I34" s="68">
        <v>150</v>
      </c>
      <c r="J34" s="68">
        <v>28</v>
      </c>
      <c r="K34" s="100">
        <f>SUMIFS(Cashbook!$G$8:$G$143,Cashbook!$J$8:$J$143,"Running costs",Cashbook!$K$8:$K$143,5)</f>
        <v>0</v>
      </c>
      <c r="L34" s="57">
        <v>75</v>
      </c>
      <c r="M34" s="58"/>
    </row>
    <row r="35" spans="1:13" ht="25.5" x14ac:dyDescent="0.2">
      <c r="A35" s="56"/>
      <c r="B35" s="90">
        <v>6</v>
      </c>
      <c r="C35" s="77" t="s">
        <v>126</v>
      </c>
      <c r="D35" s="196"/>
      <c r="E35" s="196"/>
      <c r="F35" s="67"/>
      <c r="G35" s="68">
        <v>100</v>
      </c>
      <c r="H35" s="68">
        <v>100</v>
      </c>
      <c r="I35" s="68">
        <v>100</v>
      </c>
      <c r="J35" s="68">
        <v>116</v>
      </c>
      <c r="K35" s="100">
        <f>SUMIFS(Cashbook!$G$8:$G$143,Cashbook!$J$8:$J$143,"Running costs",Cashbook!$K$8:$K$143,6)</f>
        <v>50</v>
      </c>
      <c r="L35" s="57">
        <v>100</v>
      </c>
      <c r="M35" s="58" t="s">
        <v>127</v>
      </c>
    </row>
    <row r="36" spans="1:13" x14ac:dyDescent="0.2">
      <c r="A36" s="56"/>
      <c r="B36" s="90">
        <v>7</v>
      </c>
      <c r="C36" s="77" t="s">
        <v>22</v>
      </c>
      <c r="D36" s="196">
        <v>320</v>
      </c>
      <c r="E36" s="196">
        <v>350</v>
      </c>
      <c r="F36" s="67">
        <v>500</v>
      </c>
      <c r="G36" s="68">
        <v>500</v>
      </c>
      <c r="H36" s="68">
        <v>500</v>
      </c>
      <c r="I36" s="68">
        <v>200</v>
      </c>
      <c r="J36" s="68">
        <v>55</v>
      </c>
      <c r="K36" s="100">
        <f>SUMIFS(Cashbook!$G$8:$G$143,Cashbook!$J$8:$J$143,"Running costs",Cashbook!$K$8:$K$143,7)</f>
        <v>0</v>
      </c>
      <c r="L36" s="57">
        <v>50</v>
      </c>
      <c r="M36" s="58" t="s">
        <v>183</v>
      </c>
    </row>
    <row r="37" spans="1:13" ht="25.5" x14ac:dyDescent="0.2">
      <c r="A37" s="56"/>
      <c r="B37" s="90">
        <v>8</v>
      </c>
      <c r="C37" s="77" t="s">
        <v>79</v>
      </c>
      <c r="D37" s="196">
        <v>25</v>
      </c>
      <c r="E37" s="196">
        <v>25</v>
      </c>
      <c r="F37" s="67">
        <v>25</v>
      </c>
      <c r="G37" s="68">
        <v>25</v>
      </c>
      <c r="H37" s="68">
        <v>25</v>
      </c>
      <c r="I37" s="68">
        <v>25</v>
      </c>
      <c r="J37" s="68">
        <v>0</v>
      </c>
      <c r="K37" s="100">
        <f>SUMIFS(Cashbook!$G$8:$G$143,Cashbook!$J$8:$J$143,"Running costs",Cashbook!$K$8:$K$143,8)</f>
        <v>0</v>
      </c>
      <c r="L37" s="57">
        <v>0</v>
      </c>
      <c r="M37" s="58" t="s">
        <v>128</v>
      </c>
    </row>
    <row r="38" spans="1:13" x14ac:dyDescent="0.2">
      <c r="A38" s="56"/>
      <c r="B38" s="90">
        <v>9</v>
      </c>
      <c r="C38" s="77" t="s">
        <v>23</v>
      </c>
      <c r="D38" s="196">
        <v>250</v>
      </c>
      <c r="E38" s="196">
        <v>250</v>
      </c>
      <c r="F38" s="67">
        <v>150</v>
      </c>
      <c r="G38" s="68">
        <v>150</v>
      </c>
      <c r="H38" s="68">
        <v>900.00149999999996</v>
      </c>
      <c r="I38" s="68">
        <v>300</v>
      </c>
      <c r="J38" s="68">
        <v>0</v>
      </c>
      <c r="K38" s="100">
        <f>SUMIFS(Cashbook!$G$8:$G$143,Cashbook!$J$8:$J$143,"Running costs",Cashbook!$K$8:$K$143,9)</f>
        <v>0</v>
      </c>
      <c r="L38" s="57">
        <v>300</v>
      </c>
      <c r="M38" s="58" t="s">
        <v>184</v>
      </c>
    </row>
    <row r="39" spans="1:13" ht="38.25" x14ac:dyDescent="0.2">
      <c r="A39" s="63" t="s">
        <v>91</v>
      </c>
      <c r="B39" s="90">
        <v>10</v>
      </c>
      <c r="C39" s="77" t="s">
        <v>2</v>
      </c>
      <c r="D39" s="196">
        <v>400</v>
      </c>
      <c r="E39" s="196">
        <v>400</v>
      </c>
      <c r="F39" s="67">
        <v>400</v>
      </c>
      <c r="G39" s="68">
        <v>450</v>
      </c>
      <c r="H39" s="68">
        <v>900</v>
      </c>
      <c r="I39" s="68">
        <v>1300</v>
      </c>
      <c r="J39" s="68">
        <v>1333.48</v>
      </c>
      <c r="K39" s="100">
        <f>SUMIFS(Cashbook!$G$8:$G$143,Cashbook!$J$8:$J$143,"Running costs",Cashbook!$K$8:$K$143,10)</f>
        <v>882.31</v>
      </c>
      <c r="L39" s="57">
        <v>1350</v>
      </c>
      <c r="M39" s="58" t="s">
        <v>138</v>
      </c>
    </row>
    <row r="40" spans="1:13" x14ac:dyDescent="0.2">
      <c r="A40" s="63"/>
      <c r="B40" s="90">
        <v>11</v>
      </c>
      <c r="C40" s="105" t="s">
        <v>24</v>
      </c>
      <c r="D40" s="220">
        <v>700</v>
      </c>
      <c r="E40" s="220">
        <v>700</v>
      </c>
      <c r="F40" s="112">
        <v>700</v>
      </c>
      <c r="G40" s="107">
        <v>1000</v>
      </c>
      <c r="H40" s="107">
        <v>1000</v>
      </c>
      <c r="I40" s="107">
        <v>700</v>
      </c>
      <c r="J40" s="107">
        <v>1386.23</v>
      </c>
      <c r="K40" s="103">
        <f>SUMIFS(Cashbook!$G$8:$G$143,Cashbook!$J$8:$J$143,"Running costs",Cashbook!$K$8:$K$143,11)</f>
        <v>0</v>
      </c>
      <c r="L40" s="69">
        <v>750</v>
      </c>
      <c r="M40" s="58"/>
    </row>
    <row r="41" spans="1:13" x14ac:dyDescent="0.2">
      <c r="A41" s="63"/>
      <c r="B41" s="90">
        <v>12</v>
      </c>
      <c r="C41" s="105" t="s">
        <v>46</v>
      </c>
      <c r="D41" s="220"/>
      <c r="E41" s="220"/>
      <c r="F41" s="112"/>
      <c r="G41" s="107"/>
      <c r="H41" s="107"/>
      <c r="I41" s="107"/>
      <c r="J41" s="107">
        <v>150.65</v>
      </c>
      <c r="K41" s="103">
        <f>SUMIFS(Cashbook!$G$8:$G$143,Cashbook!$J$8:$J$143,"Running costs",Cashbook!$K$8:$K$143,12)</f>
        <v>35</v>
      </c>
      <c r="L41" s="69"/>
      <c r="M41" s="58"/>
    </row>
    <row r="42" spans="1:13" x14ac:dyDescent="0.2">
      <c r="A42" s="56"/>
      <c r="B42" s="208">
        <v>1</v>
      </c>
      <c r="C42" s="195" t="s">
        <v>176</v>
      </c>
      <c r="D42" s="220"/>
      <c r="E42" s="220"/>
      <c r="F42" s="112"/>
      <c r="G42" s="107"/>
      <c r="H42" s="107"/>
      <c r="I42" s="107"/>
      <c r="J42" s="107">
        <v>0</v>
      </c>
      <c r="K42" s="213">
        <f>-SUMIFS(Cashbook!$F$8:$F$143,Cashbook!$J$8:$J$143,"Running costs",Cashbook!$K$8:$K$143,1)</f>
        <v>0</v>
      </c>
      <c r="L42" s="69"/>
      <c r="M42" s="201"/>
    </row>
    <row r="43" spans="1:13" ht="13.5" thickBot="1" x14ac:dyDescent="0.25">
      <c r="A43" s="56"/>
      <c r="B43" s="211"/>
      <c r="C43" s="212" t="s">
        <v>85</v>
      </c>
      <c r="D43" s="289">
        <f>SUM(D30:D42)</f>
        <v>10485</v>
      </c>
      <c r="E43" s="289">
        <f>SUM(E30:E42)</f>
        <v>9625</v>
      </c>
      <c r="F43" s="289">
        <f>SUM(F30:F42)</f>
        <v>7275</v>
      </c>
      <c r="G43" s="289">
        <f>SUM(G30:G42)</f>
        <v>9775</v>
      </c>
      <c r="H43" s="289">
        <f>SUM(H30:H42)</f>
        <v>10975.0015</v>
      </c>
      <c r="I43" s="289">
        <v>7075</v>
      </c>
      <c r="J43" s="289">
        <v>8002.51</v>
      </c>
      <c r="K43" s="194">
        <f>SUM(K30:K42)</f>
        <v>1832.42</v>
      </c>
      <c r="L43" s="193">
        <f>SUM(L30:L42)</f>
        <v>7275</v>
      </c>
      <c r="M43" s="207"/>
    </row>
    <row r="44" spans="1:13" ht="13.5" thickTop="1" x14ac:dyDescent="0.2">
      <c r="A44" s="56"/>
      <c r="B44" s="209"/>
      <c r="C44" s="210"/>
      <c r="D44" s="297"/>
      <c r="E44" s="295"/>
      <c r="F44" s="198"/>
      <c r="G44" s="199"/>
      <c r="H44" s="199"/>
      <c r="I44" s="199"/>
      <c r="J44" s="199"/>
      <c r="K44" s="106"/>
      <c r="L44" s="72"/>
      <c r="M44" s="203"/>
    </row>
    <row r="45" spans="1:13" x14ac:dyDescent="0.2">
      <c r="A45" s="63" t="s">
        <v>10</v>
      </c>
      <c r="B45" s="87">
        <v>1</v>
      </c>
      <c r="C45" s="77" t="s">
        <v>17</v>
      </c>
      <c r="D45" s="196">
        <v>260</v>
      </c>
      <c r="E45" s="196">
        <v>250</v>
      </c>
      <c r="F45" s="67">
        <v>275</v>
      </c>
      <c r="G45" s="68">
        <v>300</v>
      </c>
      <c r="H45" s="68">
        <v>290</v>
      </c>
      <c r="I45" s="68">
        <v>300</v>
      </c>
      <c r="J45" s="68">
        <v>0</v>
      </c>
      <c r="K45" s="100">
        <f>SUMIFS(Cashbook!$G$8:$G$143,Cashbook!$J$8:$J$143,"Memberships",Cashbook!$K$8:$K$143,1)</f>
        <v>293.82</v>
      </c>
      <c r="L45" s="57">
        <v>300</v>
      </c>
      <c r="M45" s="58"/>
    </row>
    <row r="46" spans="1:13" x14ac:dyDescent="0.2">
      <c r="A46" s="56"/>
      <c r="B46" s="92">
        <v>2</v>
      </c>
      <c r="C46" s="77" t="s">
        <v>18</v>
      </c>
      <c r="D46" s="196">
        <v>150</v>
      </c>
      <c r="E46" s="196">
        <v>140</v>
      </c>
      <c r="F46" s="67"/>
      <c r="G46" s="68">
        <v>150</v>
      </c>
      <c r="H46" s="68">
        <v>78</v>
      </c>
      <c r="I46" s="68">
        <v>80</v>
      </c>
      <c r="J46" s="68">
        <v>89</v>
      </c>
      <c r="K46" s="100">
        <f>SUMIFS(Cashbook!$G$8:$G$143,Cashbook!$J$8:$J$143,"Memberships",Cashbook!$K$8:$K$143,2)</f>
        <v>0</v>
      </c>
      <c r="L46" s="57">
        <v>80</v>
      </c>
      <c r="M46" s="58"/>
    </row>
    <row r="47" spans="1:13" x14ac:dyDescent="0.2">
      <c r="A47" s="56"/>
      <c r="B47" s="92">
        <v>3</v>
      </c>
      <c r="C47" s="77" t="s">
        <v>19</v>
      </c>
      <c r="D47" s="196">
        <v>35</v>
      </c>
      <c r="E47" s="196">
        <v>35</v>
      </c>
      <c r="F47" s="67">
        <v>30</v>
      </c>
      <c r="G47" s="68">
        <v>50</v>
      </c>
      <c r="H47" s="68">
        <v>50</v>
      </c>
      <c r="I47" s="68">
        <v>50</v>
      </c>
      <c r="J47" s="68">
        <v>25</v>
      </c>
      <c r="K47" s="100">
        <f>SUMIFS(Cashbook!$G$8:$G$143,Cashbook!$J$8:$J$143,"Memberships",Cashbook!$K$8:$K$143,3)</f>
        <v>0</v>
      </c>
      <c r="L47" s="57">
        <v>50</v>
      </c>
      <c r="M47" s="58"/>
    </row>
    <row r="48" spans="1:13" x14ac:dyDescent="0.2">
      <c r="A48" s="56"/>
      <c r="B48" s="92">
        <v>4</v>
      </c>
      <c r="C48" s="77" t="s">
        <v>20</v>
      </c>
      <c r="D48" s="196">
        <v>35</v>
      </c>
      <c r="E48" s="196">
        <v>35</v>
      </c>
      <c r="F48" s="67">
        <v>35</v>
      </c>
      <c r="G48" s="68">
        <v>35</v>
      </c>
      <c r="H48" s="68">
        <v>35</v>
      </c>
      <c r="I48" s="68">
        <v>35</v>
      </c>
      <c r="J48" s="68">
        <v>25</v>
      </c>
      <c r="K48" s="100">
        <f>SUMIFS(Cashbook!$G$8:$G$143,Cashbook!$J$8:$J$143,"Memberships",Cashbook!$K$8:$K$143,4)</f>
        <v>0</v>
      </c>
      <c r="L48" s="57">
        <v>35</v>
      </c>
      <c r="M48" s="58"/>
    </row>
    <row r="49" spans="1:13" x14ac:dyDescent="0.2">
      <c r="A49" s="56"/>
      <c r="B49" s="92">
        <v>5</v>
      </c>
      <c r="C49" s="105" t="s">
        <v>160</v>
      </c>
      <c r="D49" s="220"/>
      <c r="E49" s="220"/>
      <c r="F49" s="112"/>
      <c r="G49" s="107"/>
      <c r="H49" s="107"/>
      <c r="I49" s="107">
        <v>50</v>
      </c>
      <c r="J49" s="107">
        <v>50</v>
      </c>
      <c r="K49" s="100">
        <f>SUMIFS(Cashbook!$G$8:$G$143,Cashbook!$J$8:$J$143,"Memberships",Cashbook!$K$8:$K$143,5)</f>
        <v>0</v>
      </c>
      <c r="L49" s="69">
        <v>50</v>
      </c>
      <c r="M49" s="58"/>
    </row>
    <row r="50" spans="1:13" x14ac:dyDescent="0.2">
      <c r="A50" s="56"/>
      <c r="B50" s="92">
        <v>6</v>
      </c>
      <c r="C50" s="105" t="s">
        <v>21</v>
      </c>
      <c r="D50" s="220">
        <v>35</v>
      </c>
      <c r="E50" s="220">
        <v>35</v>
      </c>
      <c r="F50" s="112">
        <v>35</v>
      </c>
      <c r="G50" s="107">
        <v>35</v>
      </c>
      <c r="H50" s="107">
        <v>35</v>
      </c>
      <c r="I50" s="107">
        <v>35</v>
      </c>
      <c r="J50" s="107">
        <v>35</v>
      </c>
      <c r="K50" s="103">
        <f>SUMIFS(Cashbook!$G$8:$G$143,Cashbook!$J$8:$J$143,"Memberships",Cashbook!$K$8:$K$143,6)</f>
        <v>0</v>
      </c>
      <c r="L50" s="69">
        <v>35</v>
      </c>
      <c r="M50" s="58"/>
    </row>
    <row r="51" spans="1:13" ht="13.5" thickBot="1" x14ac:dyDescent="0.25">
      <c r="A51" s="56"/>
      <c r="B51" s="92">
        <v>7</v>
      </c>
      <c r="C51" s="78" t="s">
        <v>46</v>
      </c>
      <c r="D51" s="292"/>
      <c r="E51" s="292"/>
      <c r="F51" s="293"/>
      <c r="G51" s="294"/>
      <c r="H51" s="294"/>
      <c r="I51" s="294"/>
      <c r="J51" s="294">
        <v>0</v>
      </c>
      <c r="K51" s="101">
        <f>SUMIFS(Cashbook!$G$8:$G$143,Cashbook!$J$8:$J$143,"Memberships",Cashbook!$K$8:$K$143,7)</f>
        <v>0</v>
      </c>
      <c r="L51" s="60"/>
      <c r="M51" s="58"/>
    </row>
    <row r="52" spans="1:13" x14ac:dyDescent="0.2">
      <c r="A52" s="56"/>
      <c r="B52" s="92"/>
      <c r="C52" s="93" t="s">
        <v>84</v>
      </c>
      <c r="D52" s="298">
        <f>SUM(D45:D51)</f>
        <v>515</v>
      </c>
      <c r="E52" s="298">
        <f>SUM(E45:E51)</f>
        <v>495</v>
      </c>
      <c r="F52" s="298">
        <f>SUM(F45:F51)</f>
        <v>375</v>
      </c>
      <c r="G52" s="295">
        <f>SUM(G45:G51)</f>
        <v>570</v>
      </c>
      <c r="H52" s="295">
        <f>SUM(H45:H51)</f>
        <v>488</v>
      </c>
      <c r="I52" s="295">
        <v>550</v>
      </c>
      <c r="J52" s="295">
        <v>224</v>
      </c>
      <c r="K52" s="102">
        <f t="shared" ref="K52:L52" si="0">SUM(K45:K51)</f>
        <v>293.82</v>
      </c>
      <c r="L52" s="61">
        <f t="shared" si="0"/>
        <v>550</v>
      </c>
      <c r="M52" s="62"/>
    </row>
    <row r="53" spans="1:13" x14ac:dyDescent="0.2">
      <c r="A53" s="56"/>
      <c r="B53" s="86"/>
      <c r="C53" s="79"/>
      <c r="D53" s="196"/>
      <c r="E53" s="196"/>
      <c r="F53" s="67"/>
      <c r="G53" s="68"/>
      <c r="H53" s="68"/>
      <c r="I53" s="68"/>
      <c r="J53" s="68"/>
      <c r="K53" s="100"/>
      <c r="L53" s="57"/>
      <c r="M53" s="58"/>
    </row>
    <row r="54" spans="1:13" x14ac:dyDescent="0.2">
      <c r="A54" s="56"/>
      <c r="B54" s="96">
        <v>1</v>
      </c>
      <c r="C54" s="80" t="s">
        <v>25</v>
      </c>
      <c r="D54" s="196">
        <v>500</v>
      </c>
      <c r="E54" s="196">
        <v>450</v>
      </c>
      <c r="F54" s="67">
        <v>450</v>
      </c>
      <c r="G54" s="68">
        <v>450</v>
      </c>
      <c r="H54" s="68">
        <v>450</v>
      </c>
      <c r="I54" s="68">
        <v>450</v>
      </c>
      <c r="J54" s="68">
        <v>380</v>
      </c>
      <c r="K54" s="100">
        <f>SUMIFS(Cashbook!$G$8:$G$143,Cashbook!$J$8:$J$143,"Audit and legal",Cashbook!$K$8:$K$143,1)</f>
        <v>0</v>
      </c>
      <c r="L54" s="57">
        <v>400</v>
      </c>
      <c r="M54" s="58"/>
    </row>
    <row r="55" spans="1:13" ht="13.5" thickBot="1" x14ac:dyDescent="0.25">
      <c r="A55" s="56"/>
      <c r="B55" s="96">
        <v>2</v>
      </c>
      <c r="C55" s="81" t="s">
        <v>115</v>
      </c>
      <c r="D55" s="292">
        <v>200</v>
      </c>
      <c r="E55" s="292">
        <v>200</v>
      </c>
      <c r="F55" s="293">
        <v>200</v>
      </c>
      <c r="G55" s="294">
        <v>200</v>
      </c>
      <c r="H55" s="294">
        <v>200</v>
      </c>
      <c r="I55" s="294">
        <v>200</v>
      </c>
      <c r="J55" s="294">
        <v>0</v>
      </c>
      <c r="K55" s="101">
        <f>SUMIFS(Cashbook!$G$8:$G$143,Cashbook!$J$8:$J$143,"Audit and legal",Cashbook!$K$8:$K$143,2)</f>
        <v>0</v>
      </c>
      <c r="L55" s="60"/>
      <c r="M55" s="58"/>
    </row>
    <row r="56" spans="1:13" x14ac:dyDescent="0.2">
      <c r="A56" s="56"/>
      <c r="B56" s="96"/>
      <c r="C56" s="97" t="s">
        <v>83</v>
      </c>
      <c r="D56" s="295">
        <f>SUM(D54:D55)</f>
        <v>700</v>
      </c>
      <c r="E56" s="295">
        <f t="shared" ref="E56:L56" si="1">SUM(E54:E55)</f>
        <v>650</v>
      </c>
      <c r="F56" s="295">
        <f t="shared" si="1"/>
        <v>650</v>
      </c>
      <c r="G56" s="295">
        <f t="shared" si="1"/>
        <v>650</v>
      </c>
      <c r="H56" s="295">
        <f t="shared" si="1"/>
        <v>650</v>
      </c>
      <c r="I56" s="295">
        <v>650</v>
      </c>
      <c r="J56" s="295">
        <v>380</v>
      </c>
      <c r="K56" s="102">
        <f t="shared" si="1"/>
        <v>0</v>
      </c>
      <c r="L56" s="61">
        <f t="shared" si="1"/>
        <v>400</v>
      </c>
      <c r="M56" s="62"/>
    </row>
    <row r="57" spans="1:13" x14ac:dyDescent="0.2">
      <c r="A57" s="56"/>
      <c r="B57" s="86"/>
      <c r="C57" s="82" t="s">
        <v>168</v>
      </c>
      <c r="D57" s="111"/>
      <c r="E57" s="111"/>
      <c r="F57" s="112"/>
      <c r="G57" s="107"/>
      <c r="H57" s="107"/>
      <c r="I57" s="107"/>
      <c r="J57" s="107">
        <v>1951.9199999999998</v>
      </c>
      <c r="K57" s="103">
        <f>Cashbook!H144</f>
        <v>30.74</v>
      </c>
      <c r="L57" s="69"/>
      <c r="M57" s="58"/>
    </row>
    <row r="58" spans="1:13" ht="13.5" thickBot="1" x14ac:dyDescent="0.25">
      <c r="A58" s="56"/>
      <c r="B58" s="86"/>
      <c r="C58" s="83" t="s">
        <v>188</v>
      </c>
      <c r="D58" s="299">
        <f>SUM(D56,D52,D43,D28,D23,D10)</f>
        <v>27000</v>
      </c>
      <c r="E58" s="299">
        <f>SUM(E56,E52,E43,E28,E23,E10)</f>
        <v>31370</v>
      </c>
      <c r="F58" s="299">
        <f>SUM(F56,F52,F43,F28,F23,F10)</f>
        <v>32686</v>
      </c>
      <c r="G58" s="299">
        <f>SUM(G56,G52,G43,G28,G23,G10)</f>
        <v>32105</v>
      </c>
      <c r="H58" s="299">
        <f>SUM(H56,H52,H43,H28,H23,H10)</f>
        <v>61209.001499999998</v>
      </c>
      <c r="I58" s="299">
        <v>27785</v>
      </c>
      <c r="J58" s="299">
        <v>38052.61</v>
      </c>
      <c r="K58" s="104">
        <f>SUM(K56,K57,K52,K43,K28,K23,K10)</f>
        <v>6391.59</v>
      </c>
      <c r="L58" s="70">
        <f>SUM(L56,L52,L43,L28,L23,L10)</f>
        <v>34225</v>
      </c>
      <c r="M58" s="64"/>
    </row>
    <row r="59" spans="1:13" ht="13.5" thickTop="1" x14ac:dyDescent="0.2">
      <c r="A59" s="71" t="s">
        <v>5</v>
      </c>
      <c r="B59" s="87"/>
      <c r="C59" s="84"/>
      <c r="D59" s="300"/>
      <c r="E59" s="295"/>
      <c r="F59" s="198"/>
      <c r="G59" s="199"/>
      <c r="H59" s="199"/>
      <c r="I59" s="199"/>
      <c r="J59" s="199"/>
      <c r="K59" s="214"/>
      <c r="L59" s="72"/>
      <c r="M59" s="58"/>
    </row>
    <row r="60" spans="1:13" x14ac:dyDescent="0.2">
      <c r="A60" s="56"/>
      <c r="B60" s="86"/>
      <c r="C60" s="221" t="s">
        <v>192</v>
      </c>
      <c r="D60" s="301" t="s">
        <v>116</v>
      </c>
      <c r="E60" s="302" t="s">
        <v>117</v>
      </c>
      <c r="F60" s="303" t="s">
        <v>118</v>
      </c>
      <c r="G60" s="304" t="s">
        <v>134</v>
      </c>
      <c r="H60" s="304" t="s">
        <v>135</v>
      </c>
      <c r="I60" s="304" t="s">
        <v>143</v>
      </c>
      <c r="J60" s="304"/>
      <c r="K60" s="215"/>
      <c r="L60" s="73">
        <v>101</v>
      </c>
      <c r="M60" s="58"/>
    </row>
    <row r="61" spans="1:13" ht="25.5" x14ac:dyDescent="0.2">
      <c r="A61" s="56"/>
      <c r="B61" s="86"/>
      <c r="C61" s="80" t="s">
        <v>80</v>
      </c>
      <c r="D61" s="305"/>
      <c r="E61" s="306">
        <v>20000</v>
      </c>
      <c r="F61" s="67">
        <v>35000</v>
      </c>
      <c r="G61" s="68">
        <v>25000</v>
      </c>
      <c r="H61" s="68">
        <v>25000</v>
      </c>
      <c r="I61" s="68">
        <v>9000</v>
      </c>
      <c r="J61" s="68"/>
      <c r="K61" s="324">
        <v>6061</v>
      </c>
      <c r="L61" s="324">
        <v>6061</v>
      </c>
      <c r="M61" s="58" t="s">
        <v>190</v>
      </c>
    </row>
    <row r="62" spans="1:13" x14ac:dyDescent="0.2">
      <c r="A62" s="56"/>
      <c r="B62" s="98">
        <v>1</v>
      </c>
      <c r="C62" s="80" t="s">
        <v>8</v>
      </c>
      <c r="D62" s="305"/>
      <c r="E62" s="306">
        <v>23795</v>
      </c>
      <c r="F62" s="67">
        <v>24393</v>
      </c>
      <c r="G62" s="68">
        <v>24710</v>
      </c>
      <c r="H62" s="68">
        <v>24710</v>
      </c>
      <c r="I62" s="68">
        <v>25451</v>
      </c>
      <c r="J62" s="68">
        <v>27669</v>
      </c>
      <c r="K62" s="216">
        <f>SUMIFS(Cashbook!$F$8:$F$143,Cashbook!$J$8:$J$143,"Receipts",Cashbook!$K$8:$K$143,1)</f>
        <v>21375</v>
      </c>
      <c r="L62" s="57">
        <v>28206</v>
      </c>
      <c r="M62" s="58" t="s">
        <v>189</v>
      </c>
    </row>
    <row r="63" spans="1:13" x14ac:dyDescent="0.2">
      <c r="A63" s="56"/>
      <c r="B63" s="98">
        <v>2</v>
      </c>
      <c r="C63" s="80" t="s">
        <v>119</v>
      </c>
      <c r="D63" s="305"/>
      <c r="E63" s="306">
        <v>1134</v>
      </c>
      <c r="F63" s="67">
        <v>874</v>
      </c>
      <c r="G63" s="68">
        <v>874</v>
      </c>
      <c r="H63" s="68">
        <v>874</v>
      </c>
      <c r="I63" s="68">
        <v>217</v>
      </c>
      <c r="J63" s="68">
        <v>0</v>
      </c>
      <c r="K63" s="68">
        <f>SUMIFS(Cashbook!$F$8:$F$143,Cashbook!$J$8:$J$143,"Receipts",Cashbook!$K$8:$K$143,2)</f>
        <v>0</v>
      </c>
      <c r="L63" s="68"/>
      <c r="M63" s="58"/>
    </row>
    <row r="64" spans="1:13" x14ac:dyDescent="0.2">
      <c r="A64" s="56"/>
      <c r="B64" s="98">
        <v>3</v>
      </c>
      <c r="C64" s="80" t="s">
        <v>45</v>
      </c>
      <c r="D64" s="305"/>
      <c r="E64" s="306">
        <v>30</v>
      </c>
      <c r="F64" s="67">
        <v>30</v>
      </c>
      <c r="G64" s="68">
        <v>30</v>
      </c>
      <c r="H64" s="68">
        <v>30</v>
      </c>
      <c r="I64" s="68">
        <v>30</v>
      </c>
      <c r="J64" s="68">
        <v>8.14</v>
      </c>
      <c r="K64" s="216">
        <f>SUMIFS(Cashbook!$F$8:$F$143,Cashbook!$J$8:$J$143,"Receipts",Cashbook!$K$8:$K$143,3)</f>
        <v>1.82</v>
      </c>
      <c r="L64" s="57">
        <v>10</v>
      </c>
      <c r="M64" s="58"/>
    </row>
    <row r="65" spans="1:13" x14ac:dyDescent="0.2">
      <c r="A65" s="56"/>
      <c r="B65" s="98">
        <v>4</v>
      </c>
      <c r="C65" s="80" t="s">
        <v>81</v>
      </c>
      <c r="D65" s="305"/>
      <c r="E65" s="306">
        <v>134</v>
      </c>
      <c r="F65" s="67">
        <v>300</v>
      </c>
      <c r="G65" s="68">
        <v>3786.16</v>
      </c>
      <c r="H65" s="68">
        <v>850</v>
      </c>
      <c r="I65" s="68"/>
      <c r="J65" s="68">
        <v>3486.3</v>
      </c>
      <c r="K65" s="216">
        <f>SUMIFS(Cashbook!$F$8:$F$143,Cashbook!$J$8:$J$143,"Receipts",Cashbook!$K$8:$K$143,4)</f>
        <v>0</v>
      </c>
      <c r="L65" s="57">
        <f>Cashbook!H144</f>
        <v>30.74</v>
      </c>
      <c r="M65" s="58" t="s">
        <v>196</v>
      </c>
    </row>
    <row r="66" spans="1:13" x14ac:dyDescent="0.2">
      <c r="A66" s="56"/>
      <c r="B66" s="98">
        <v>5</v>
      </c>
      <c r="C66" s="80" t="s">
        <v>156</v>
      </c>
      <c r="D66" s="307"/>
      <c r="E66" s="308"/>
      <c r="F66" s="112"/>
      <c r="G66" s="107"/>
      <c r="H66" s="107"/>
      <c r="I66" s="107"/>
      <c r="J66" s="107">
        <v>1828.55</v>
      </c>
      <c r="K66" s="213">
        <f>SUMIFS(Cashbook!$F$8:$F$143,Cashbook!$J$8:$J$143,"Receipts",Cashbook!$K$8:$K$143,5)</f>
        <v>0</v>
      </c>
      <c r="L66" s="69"/>
      <c r="M66" s="58"/>
    </row>
    <row r="67" spans="1:13" x14ac:dyDescent="0.2">
      <c r="A67" s="56"/>
      <c r="B67" s="98"/>
      <c r="C67" s="99" t="s">
        <v>163</v>
      </c>
      <c r="D67" s="309"/>
      <c r="E67" s="310">
        <f t="shared" ref="E67:K67" si="2">SUM(E61:E66)</f>
        <v>45093</v>
      </c>
      <c r="F67" s="310">
        <f t="shared" si="2"/>
        <v>60597</v>
      </c>
      <c r="G67" s="310">
        <f t="shared" si="2"/>
        <v>54400.160000000003</v>
      </c>
      <c r="H67" s="310">
        <f t="shared" si="2"/>
        <v>51464</v>
      </c>
      <c r="I67" s="310">
        <v>34668</v>
      </c>
      <c r="J67" s="310">
        <v>32991.99</v>
      </c>
      <c r="K67" s="217">
        <f t="shared" si="2"/>
        <v>27437.82</v>
      </c>
      <c r="L67" s="110">
        <f>SUM(L61:L66)</f>
        <v>34307.74</v>
      </c>
      <c r="M67" s="58"/>
    </row>
    <row r="68" spans="1:13" x14ac:dyDescent="0.2">
      <c r="A68" s="56"/>
      <c r="B68" s="86"/>
      <c r="C68" s="79" t="s">
        <v>197</v>
      </c>
      <c r="D68" s="198"/>
      <c r="E68" s="311"/>
      <c r="F68" s="198"/>
      <c r="G68" s="199"/>
      <c r="H68" s="199"/>
      <c r="I68" s="199"/>
      <c r="J68" s="199"/>
      <c r="K68" s="214"/>
      <c r="L68" s="72">
        <f>SUM(L67)-L58</f>
        <v>82.739999999997963</v>
      </c>
      <c r="M68" s="58" t="s">
        <v>198</v>
      </c>
    </row>
    <row r="69" spans="1:13" x14ac:dyDescent="0.2">
      <c r="A69" s="74" t="s">
        <v>26</v>
      </c>
      <c r="B69" s="88"/>
      <c r="C69" s="79"/>
      <c r="D69" s="67"/>
      <c r="E69" s="296"/>
      <c r="F69" s="67"/>
      <c r="G69" s="68"/>
      <c r="H69" s="68"/>
      <c r="I69" s="68"/>
      <c r="J69" s="68"/>
      <c r="K69" s="216"/>
      <c r="L69" s="57"/>
      <c r="M69" s="58"/>
    </row>
    <row r="70" spans="1:13" ht="25.5" x14ac:dyDescent="0.2">
      <c r="A70" s="56"/>
      <c r="B70" s="86"/>
      <c r="C70" s="80" t="s">
        <v>187</v>
      </c>
      <c r="D70" s="305"/>
      <c r="E70" s="196">
        <v>18000</v>
      </c>
      <c r="F70" s="67">
        <v>20000</v>
      </c>
      <c r="G70" s="68">
        <v>20000</v>
      </c>
      <c r="H70" s="68">
        <v>22000</v>
      </c>
      <c r="I70" s="68">
        <v>22000</v>
      </c>
      <c r="J70" s="68">
        <v>-3384.6100000000006</v>
      </c>
      <c r="K70" s="216">
        <f>SUM(I67)-K58</f>
        <v>28276.41</v>
      </c>
      <c r="L70" s="57"/>
      <c r="M70" s="58" t="s">
        <v>191</v>
      </c>
    </row>
    <row r="71" spans="1:13" x14ac:dyDescent="0.2">
      <c r="A71" s="56"/>
      <c r="B71" s="86"/>
      <c r="C71" s="77" t="s">
        <v>129</v>
      </c>
      <c r="D71" s="312"/>
      <c r="E71" s="296"/>
      <c r="F71" s="67"/>
      <c r="G71" s="68">
        <v>1827</v>
      </c>
      <c r="H71" s="107"/>
      <c r="I71" s="107"/>
      <c r="J71" s="107"/>
      <c r="K71" s="213"/>
      <c r="L71" s="69"/>
      <c r="M71" s="58"/>
    </row>
    <row r="72" spans="1:13" x14ac:dyDescent="0.2">
      <c r="A72" s="56"/>
      <c r="B72" s="86"/>
      <c r="C72" s="75" t="s">
        <v>82</v>
      </c>
      <c r="D72" s="313"/>
      <c r="E72" s="314">
        <f t="shared" ref="E72:G72" si="3">SUM(E70:E71)</f>
        <v>18000</v>
      </c>
      <c r="F72" s="315">
        <f t="shared" si="3"/>
        <v>20000</v>
      </c>
      <c r="G72" s="316">
        <f t="shared" si="3"/>
        <v>21827</v>
      </c>
      <c r="H72" s="316">
        <f>SUM(H70:H71)</f>
        <v>22000</v>
      </c>
      <c r="I72" s="316">
        <v>22000</v>
      </c>
      <c r="J72" s="316">
        <v>-3384.6100000000006</v>
      </c>
      <c r="K72" s="218">
        <f t="shared" ref="K72" si="4">SUM(K70:K71)</f>
        <v>28276.41</v>
      </c>
      <c r="L72" s="108">
        <f>SUM(L68:L71)</f>
        <v>82.739999999997963</v>
      </c>
      <c r="M72" s="76"/>
    </row>
    <row r="73" spans="1:13" ht="13.5" thickBot="1" x14ac:dyDescent="0.25">
      <c r="B73" s="86"/>
      <c r="C73" s="49" t="s">
        <v>167</v>
      </c>
      <c r="D73" s="317"/>
      <c r="E73" s="318">
        <f t="shared" ref="E73:G73" si="5">SUM(E67)-E72</f>
        <v>27093</v>
      </c>
      <c r="F73" s="318">
        <f t="shared" si="5"/>
        <v>40597</v>
      </c>
      <c r="G73" s="318">
        <f t="shared" si="5"/>
        <v>32573.160000000003</v>
      </c>
      <c r="H73" s="318">
        <f t="shared" ref="H73" si="6">SUM(H67)-H72</f>
        <v>29464</v>
      </c>
      <c r="I73" s="318">
        <v>12668</v>
      </c>
      <c r="J73" s="318">
        <v>29607.379999999997</v>
      </c>
      <c r="K73" s="219">
        <f>SUM(K67,K72)</f>
        <v>55714.229999999996</v>
      </c>
      <c r="L73" s="109">
        <f>SUM(L67)-L72</f>
        <v>34225</v>
      </c>
      <c r="M73" s="53" t="s">
        <v>185</v>
      </c>
    </row>
    <row r="74" spans="1:13" ht="13.5" thickTop="1" x14ac:dyDescent="0.2"/>
    <row r="76" spans="1:13" x14ac:dyDescent="0.2">
      <c r="K76" s="326"/>
      <c r="L76" s="55" t="s">
        <v>215</v>
      </c>
    </row>
  </sheetData>
  <printOptions headings="1"/>
  <pageMargins left="0.31496062992125984" right="0.31496062992125984" top="0.15748031496062992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opLeftCell="A13" zoomScale="150" zoomScaleNormal="150" workbookViewId="0">
      <selection activeCell="A22" sqref="A22"/>
    </sheetView>
  </sheetViews>
  <sheetFormatPr defaultColWidth="8.85546875" defaultRowHeight="12.75" x14ac:dyDescent="0.2"/>
  <cols>
    <col min="1" max="1" width="38.28515625" style="3" customWidth="1"/>
    <col min="2" max="2" width="15.28515625" customWidth="1"/>
    <col min="3" max="3" width="14.85546875" style="1" customWidth="1"/>
    <col min="4" max="4" width="16.28515625" customWidth="1"/>
    <col min="5" max="5" width="15.85546875" customWidth="1"/>
  </cols>
  <sheetData>
    <row r="1" spans="1:5" x14ac:dyDescent="0.2">
      <c r="A1" s="2" t="s">
        <v>3</v>
      </c>
      <c r="B1" s="4"/>
    </row>
    <row r="2" spans="1:5" x14ac:dyDescent="0.2">
      <c r="A2" s="2"/>
      <c r="B2" s="4"/>
    </row>
    <row r="3" spans="1:5" x14ac:dyDescent="0.2">
      <c r="A3" s="2" t="s">
        <v>1</v>
      </c>
      <c r="B3" s="4"/>
    </row>
    <row r="5" spans="1:5" ht="38.25" x14ac:dyDescent="0.2">
      <c r="A5" s="18" t="s">
        <v>42</v>
      </c>
      <c r="B5" s="9" t="s">
        <v>59</v>
      </c>
      <c r="C5" s="9" t="s">
        <v>103</v>
      </c>
      <c r="D5" s="9" t="s">
        <v>104</v>
      </c>
      <c r="E5" s="9" t="s">
        <v>105</v>
      </c>
    </row>
    <row r="7" spans="1:5" ht="14.25" x14ac:dyDescent="0.3">
      <c r="A7" s="7" t="s">
        <v>60</v>
      </c>
      <c r="B7" s="12">
        <v>1</v>
      </c>
      <c r="C7" s="12">
        <v>1</v>
      </c>
      <c r="D7" s="12">
        <v>1</v>
      </c>
      <c r="E7" s="12">
        <v>1</v>
      </c>
    </row>
    <row r="8" spans="1:5" ht="14.25" x14ac:dyDescent="0.3">
      <c r="A8" s="7" t="s">
        <v>61</v>
      </c>
      <c r="B8" s="12">
        <v>1</v>
      </c>
      <c r="C8" s="12">
        <v>1</v>
      </c>
      <c r="D8" s="12">
        <v>1</v>
      </c>
      <c r="E8" s="12">
        <v>1</v>
      </c>
    </row>
    <row r="9" spans="1:5" ht="14.25" x14ac:dyDescent="0.3">
      <c r="A9" s="7" t="s">
        <v>62</v>
      </c>
      <c r="B9" s="12">
        <v>1</v>
      </c>
      <c r="C9" s="12">
        <v>1</v>
      </c>
      <c r="D9" s="12">
        <v>1</v>
      </c>
      <c r="E9" s="12">
        <v>1</v>
      </c>
    </row>
    <row r="10" spans="1:5" ht="14.25" x14ac:dyDescent="0.3">
      <c r="A10" s="7" t="s">
        <v>63</v>
      </c>
      <c r="B10" s="12">
        <v>1</v>
      </c>
      <c r="C10" s="12">
        <v>1</v>
      </c>
      <c r="D10" s="12">
        <v>1</v>
      </c>
      <c r="E10" s="12">
        <v>1</v>
      </c>
    </row>
    <row r="11" spans="1:5" x14ac:dyDescent="0.2">
      <c r="A11"/>
      <c r="C11"/>
    </row>
    <row r="12" spans="1:5" ht="14.25" x14ac:dyDescent="0.3">
      <c r="A12" s="7" t="s">
        <v>65</v>
      </c>
      <c r="B12" s="12">
        <v>705</v>
      </c>
      <c r="C12" s="12">
        <v>705</v>
      </c>
      <c r="D12" s="12">
        <v>705</v>
      </c>
      <c r="E12" s="12">
        <v>705</v>
      </c>
    </row>
    <row r="13" spans="1:5" ht="14.25" x14ac:dyDescent="0.3">
      <c r="A13" s="7"/>
      <c r="B13" s="12"/>
      <c r="C13" s="12"/>
      <c r="D13" s="12"/>
      <c r="E13" s="12"/>
    </row>
    <row r="14" spans="1:5" ht="32.1" customHeight="1" x14ac:dyDescent="0.2">
      <c r="A14" s="16" t="s">
        <v>66</v>
      </c>
      <c r="B14" s="17">
        <v>925</v>
      </c>
      <c r="C14" s="17">
        <v>925</v>
      </c>
      <c r="D14" s="17">
        <v>925</v>
      </c>
      <c r="E14" s="17">
        <v>925</v>
      </c>
    </row>
    <row r="15" spans="1:5" ht="28.5" x14ac:dyDescent="0.2">
      <c r="A15" s="16" t="s">
        <v>67</v>
      </c>
      <c r="B15" s="17">
        <v>150</v>
      </c>
      <c r="C15" s="17">
        <v>150</v>
      </c>
      <c r="D15" s="17">
        <v>150</v>
      </c>
      <c r="E15" s="17">
        <v>150</v>
      </c>
    </row>
    <row r="16" spans="1:5" ht="14.25" x14ac:dyDescent="0.3">
      <c r="A16" s="7" t="s">
        <v>68</v>
      </c>
      <c r="B16" s="12">
        <v>395</v>
      </c>
      <c r="C16" s="12">
        <v>395</v>
      </c>
      <c r="D16" s="12">
        <v>395</v>
      </c>
      <c r="E16" s="12">
        <v>395</v>
      </c>
    </row>
    <row r="17" spans="1:5" ht="14.25" x14ac:dyDescent="0.3">
      <c r="A17" s="7" t="s">
        <v>98</v>
      </c>
      <c r="B17" s="12"/>
      <c r="C17" s="12">
        <v>200</v>
      </c>
      <c r="D17" s="12">
        <v>200</v>
      </c>
      <c r="E17" s="12">
        <v>200</v>
      </c>
    </row>
    <row r="18" spans="1:5" ht="14.25" x14ac:dyDescent="0.3">
      <c r="A18" s="7" t="s">
        <v>99</v>
      </c>
      <c r="B18" s="12"/>
      <c r="C18" s="12"/>
      <c r="D18" s="12">
        <v>205</v>
      </c>
      <c r="E18" s="12">
        <v>205</v>
      </c>
    </row>
    <row r="19" spans="1:5" ht="17.100000000000001" customHeight="1" x14ac:dyDescent="0.2">
      <c r="A19" s="16" t="s">
        <v>69</v>
      </c>
      <c r="B19" s="17">
        <v>6560</v>
      </c>
      <c r="C19" s="17">
        <v>6560</v>
      </c>
      <c r="D19" s="17">
        <v>6560</v>
      </c>
      <c r="E19" s="17">
        <v>6560</v>
      </c>
    </row>
    <row r="20" spans="1:5" ht="14.25" x14ac:dyDescent="0.3">
      <c r="A20" s="7"/>
      <c r="B20" s="12"/>
      <c r="C20" s="12"/>
      <c r="D20" s="12"/>
      <c r="E20" s="12"/>
    </row>
    <row r="21" spans="1:5" ht="14.25" x14ac:dyDescent="0.3">
      <c r="A21" s="7" t="s">
        <v>70</v>
      </c>
      <c r="B21" s="12"/>
      <c r="C21" s="12"/>
      <c r="D21" s="12"/>
      <c r="E21" s="12"/>
    </row>
    <row r="22" spans="1:5" ht="14.25" x14ac:dyDescent="0.3">
      <c r="A22" s="7" t="s">
        <v>71</v>
      </c>
      <c r="B22" s="12">
        <v>2</v>
      </c>
      <c r="C22" s="12">
        <v>2</v>
      </c>
      <c r="D22" s="12">
        <v>2</v>
      </c>
      <c r="E22" s="12">
        <v>2</v>
      </c>
    </row>
    <row r="23" spans="1:5" ht="14.25" x14ac:dyDescent="0.3">
      <c r="A23" s="7" t="s">
        <v>72</v>
      </c>
      <c r="B23" s="12">
        <v>0</v>
      </c>
      <c r="C23" s="12">
        <v>0</v>
      </c>
      <c r="D23" s="12">
        <v>0</v>
      </c>
      <c r="E23" s="12">
        <v>0</v>
      </c>
    </row>
    <row r="24" spans="1:5" ht="28.5" x14ac:dyDescent="0.3">
      <c r="A24" s="8" t="s">
        <v>73</v>
      </c>
      <c r="B24" s="12">
        <v>1353</v>
      </c>
      <c r="C24" s="12">
        <v>1353</v>
      </c>
      <c r="D24" s="12">
        <v>1353</v>
      </c>
      <c r="E24" s="12">
        <v>1353</v>
      </c>
    </row>
    <row r="25" spans="1:5" ht="14.25" x14ac:dyDescent="0.3">
      <c r="A25" s="7" t="s">
        <v>74</v>
      </c>
      <c r="B25" s="12">
        <v>938</v>
      </c>
      <c r="C25" s="12">
        <v>938</v>
      </c>
      <c r="D25" s="12">
        <v>938</v>
      </c>
      <c r="E25" s="12">
        <v>938</v>
      </c>
    </row>
    <row r="26" spans="1:5" ht="14.25" x14ac:dyDescent="0.3">
      <c r="A26" s="7" t="s">
        <v>75</v>
      </c>
      <c r="B26" s="12">
        <v>185</v>
      </c>
      <c r="C26" s="12">
        <v>185</v>
      </c>
      <c r="D26" s="12">
        <v>185</v>
      </c>
      <c r="E26" s="12">
        <v>185</v>
      </c>
    </row>
    <row r="27" spans="1:5" ht="14.25" x14ac:dyDescent="0.3">
      <c r="A27" s="7" t="s">
        <v>100</v>
      </c>
      <c r="B27" s="12"/>
      <c r="C27" s="12">
        <v>2020</v>
      </c>
      <c r="D27" s="12">
        <v>2020</v>
      </c>
      <c r="E27" s="12">
        <v>2020</v>
      </c>
    </row>
    <row r="28" spans="1:5" ht="14.25" x14ac:dyDescent="0.3">
      <c r="A28" s="7" t="s">
        <v>77</v>
      </c>
      <c r="B28" s="12"/>
      <c r="C28" s="13">
        <v>0</v>
      </c>
      <c r="D28" s="13">
        <v>0</v>
      </c>
      <c r="E28" s="13">
        <v>0</v>
      </c>
    </row>
    <row r="29" spans="1:5" ht="14.25" x14ac:dyDescent="0.3">
      <c r="A29" s="7" t="s">
        <v>101</v>
      </c>
      <c r="B29" s="12"/>
      <c r="C29" s="13"/>
      <c r="D29" s="13"/>
      <c r="E29" s="13">
        <v>552</v>
      </c>
    </row>
    <row r="30" spans="1:5" ht="14.25" x14ac:dyDescent="0.3">
      <c r="A30" s="7" t="s">
        <v>102</v>
      </c>
      <c r="B30" s="12"/>
      <c r="C30" s="13"/>
      <c r="D30" s="13"/>
      <c r="E30" s="13">
        <v>225</v>
      </c>
    </row>
    <row r="31" spans="1:5" ht="14.25" x14ac:dyDescent="0.3">
      <c r="A31" s="7"/>
      <c r="B31" s="7"/>
      <c r="C31" s="7"/>
      <c r="D31" s="7"/>
      <c r="E31" s="7"/>
    </row>
    <row r="32" spans="1:5" ht="15" thickBot="1" x14ac:dyDescent="0.35">
      <c r="A32" s="7"/>
      <c r="B32" s="14">
        <f>SUM(B7:B26)</f>
        <v>11217</v>
      </c>
      <c r="C32" s="14">
        <f>SUM(C7:C27)</f>
        <v>13437</v>
      </c>
      <c r="D32" s="14">
        <f>SUM(D7:D27)</f>
        <v>13642</v>
      </c>
      <c r="E32" s="14">
        <f>SUM(E7:E30)</f>
        <v>14419</v>
      </c>
    </row>
    <row r="33" spans="1:5" ht="15" thickTop="1" x14ac:dyDescent="0.3">
      <c r="A33" s="7"/>
      <c r="B33" s="7"/>
      <c r="C33" s="7"/>
      <c r="D33" s="7"/>
      <c r="E33" s="7"/>
    </row>
    <row r="34" spans="1:5" ht="14.25" x14ac:dyDescent="0.3">
      <c r="A34" s="7" t="s">
        <v>64</v>
      </c>
      <c r="B34" s="12">
        <v>355338</v>
      </c>
      <c r="C34" s="12">
        <v>355339</v>
      </c>
      <c r="D34" s="12">
        <v>355339</v>
      </c>
      <c r="E34" s="12">
        <v>355339</v>
      </c>
    </row>
    <row r="35" spans="1:5" ht="14.25" x14ac:dyDescent="0.3">
      <c r="A35" s="7"/>
      <c r="B35" s="7"/>
      <c r="C35" s="15"/>
      <c r="D35" s="15"/>
      <c r="E35" s="15"/>
    </row>
  </sheetData>
  <phoneticPr fontId="6" type="noConversion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65"/>
  <sheetViews>
    <sheetView zoomScale="85" zoomScaleNormal="85" workbookViewId="0">
      <pane xSplit="6" ySplit="5" topLeftCell="G6" activePane="bottomRight" state="frozen"/>
      <selection pane="topRight" activeCell="H1" sqref="H1"/>
      <selection pane="bottomLeft" activeCell="A6" sqref="A6"/>
      <selection pane="bottomRight" activeCell="N157" sqref="N157"/>
    </sheetView>
  </sheetViews>
  <sheetFormatPr defaultColWidth="1.140625" defaultRowHeight="15" x14ac:dyDescent="0.25"/>
  <cols>
    <col min="1" max="1" width="1.140625" style="113" customWidth="1"/>
    <col min="2" max="2" width="14.42578125" style="239" customWidth="1"/>
    <col min="3" max="3" width="9" style="236" customWidth="1"/>
    <col min="4" max="4" width="32.140625" style="113" customWidth="1"/>
    <col min="5" max="5" width="10.7109375" style="113" customWidth="1"/>
    <col min="6" max="6" width="13.7109375" style="118" customWidth="1"/>
    <col min="7" max="7" width="11.140625" style="118" customWidth="1"/>
    <col min="8" max="8" width="9.28515625" style="113" customWidth="1"/>
    <col min="9" max="9" width="12" style="113" customWidth="1"/>
    <col min="10" max="10" width="16.140625" style="113" bestFit="1" customWidth="1"/>
    <col min="11" max="11" width="9.140625" style="113" customWidth="1"/>
    <col min="12" max="12" width="12.85546875" style="113" customWidth="1"/>
    <col min="13" max="13" width="3.140625" style="113" customWidth="1"/>
    <col min="14" max="14" width="28.42578125" style="113" customWidth="1"/>
    <col min="15" max="15" width="9.140625" style="113" customWidth="1"/>
    <col min="16" max="16" width="14.5703125" style="113" hidden="1" customWidth="1"/>
    <col min="17" max="18" width="9.140625" style="113" customWidth="1"/>
    <col min="19" max="19" width="14.7109375" style="113" customWidth="1"/>
    <col min="20" max="222" width="9.140625" style="113" customWidth="1"/>
    <col min="223" max="16384" width="1.140625" style="113"/>
  </cols>
  <sheetData>
    <row r="1" spans="1:16" x14ac:dyDescent="0.25">
      <c r="A1" s="120"/>
      <c r="C1" s="180"/>
      <c r="D1" s="120"/>
      <c r="E1" s="120"/>
      <c r="F1" s="156"/>
      <c r="G1" s="156"/>
      <c r="H1" s="120"/>
      <c r="I1" s="120"/>
    </row>
    <row r="2" spans="1:16" x14ac:dyDescent="0.25">
      <c r="A2" s="120"/>
      <c r="B2" s="334" t="s">
        <v>205</v>
      </c>
      <c r="C2" s="335"/>
      <c r="D2" s="335"/>
      <c r="E2" s="335"/>
      <c r="F2" s="335"/>
      <c r="G2" s="335"/>
      <c r="H2" s="335"/>
      <c r="I2" s="258"/>
      <c r="J2" s="121"/>
      <c r="K2" s="121"/>
      <c r="L2" s="121"/>
      <c r="M2" s="121"/>
      <c r="N2" s="121"/>
    </row>
    <row r="3" spans="1:16" x14ac:dyDescent="0.25">
      <c r="A3" s="120"/>
      <c r="B3" s="237"/>
      <c r="C3" s="122"/>
      <c r="D3" s="123"/>
      <c r="E3" s="123"/>
      <c r="F3" s="243"/>
      <c r="G3" s="243"/>
      <c r="H3" s="120"/>
      <c r="I3" s="120"/>
    </row>
    <row r="4" spans="1:16" x14ac:dyDescent="0.25">
      <c r="A4" s="120"/>
      <c r="B4" s="332" t="s">
        <v>28</v>
      </c>
      <c r="C4" s="333"/>
      <c r="D4" s="333"/>
      <c r="E4" s="333"/>
      <c r="F4" s="244" t="s">
        <v>5</v>
      </c>
      <c r="G4" s="337" t="s">
        <v>4</v>
      </c>
      <c r="H4" s="338"/>
      <c r="I4" s="338"/>
      <c r="J4" s="114" t="s">
        <v>154</v>
      </c>
      <c r="K4" s="114" t="s">
        <v>144</v>
      </c>
    </row>
    <row r="5" spans="1:16" ht="30" x14ac:dyDescent="0.25">
      <c r="A5" s="120"/>
      <c r="B5" s="238" t="s">
        <v>41</v>
      </c>
      <c r="C5" s="124" t="s">
        <v>57</v>
      </c>
      <c r="D5" s="124" t="s">
        <v>42</v>
      </c>
      <c r="E5" s="125" t="s">
        <v>58</v>
      </c>
      <c r="F5" s="245" t="s">
        <v>44</v>
      </c>
      <c r="G5" s="253" t="s">
        <v>170</v>
      </c>
      <c r="H5" s="126" t="s">
        <v>47</v>
      </c>
      <c r="I5" s="259" t="s">
        <v>203</v>
      </c>
      <c r="J5" s="114"/>
      <c r="K5" s="114"/>
      <c r="L5" s="113" t="s">
        <v>206</v>
      </c>
    </row>
    <row r="6" spans="1:16" x14ac:dyDescent="0.25">
      <c r="A6" s="120"/>
      <c r="B6" s="319">
        <v>43922</v>
      </c>
      <c r="D6" s="128" t="s">
        <v>48</v>
      </c>
      <c r="E6" s="129"/>
      <c r="F6" s="261">
        <v>6061.85</v>
      </c>
      <c r="G6" s="130"/>
      <c r="H6" s="131"/>
      <c r="I6" s="260"/>
      <c r="M6" s="132"/>
      <c r="N6" s="133" t="s">
        <v>88</v>
      </c>
      <c r="P6" s="113" t="s">
        <v>147</v>
      </c>
    </row>
    <row r="7" spans="1:16" x14ac:dyDescent="0.25">
      <c r="A7" s="120"/>
      <c r="B7" s="239" t="s">
        <v>223</v>
      </c>
      <c r="C7" s="236" t="s">
        <v>224</v>
      </c>
      <c r="D7" s="113" t="s">
        <v>225</v>
      </c>
      <c r="F7" s="131">
        <v>0.19</v>
      </c>
      <c r="G7" s="130"/>
      <c r="H7" s="131"/>
      <c r="I7" s="260"/>
      <c r="J7" s="113" t="s">
        <v>5</v>
      </c>
      <c r="K7" s="113">
        <v>3</v>
      </c>
      <c r="L7" s="118">
        <f>SUM(G7:H7)-I7</f>
        <v>0</v>
      </c>
      <c r="M7" s="132"/>
      <c r="N7" s="133"/>
    </row>
    <row r="8" spans="1:16" x14ac:dyDescent="0.25">
      <c r="A8" s="120"/>
      <c r="B8" s="320" t="s">
        <v>219</v>
      </c>
      <c r="C8" s="127" t="s">
        <v>220</v>
      </c>
      <c r="D8" s="134" t="s">
        <v>221</v>
      </c>
      <c r="E8" s="135" t="s">
        <v>222</v>
      </c>
      <c r="F8" s="131"/>
      <c r="G8" s="130">
        <v>313.61</v>
      </c>
      <c r="H8" s="131"/>
      <c r="I8" s="260">
        <v>313.61</v>
      </c>
      <c r="J8" s="113" t="s">
        <v>12</v>
      </c>
      <c r="K8" s="113">
        <v>5</v>
      </c>
      <c r="L8" s="118">
        <f t="shared" ref="L8:L71" si="0">SUM(G8:H8)-I8</f>
        <v>0</v>
      </c>
      <c r="M8" s="132">
        <v>1</v>
      </c>
      <c r="N8" s="136" t="s">
        <v>141</v>
      </c>
      <c r="P8" s="115" t="s">
        <v>12</v>
      </c>
    </row>
    <row r="9" spans="1:16" x14ac:dyDescent="0.25">
      <c r="A9" s="120"/>
      <c r="B9" s="320" t="s">
        <v>219</v>
      </c>
      <c r="C9" s="127" t="s">
        <v>226</v>
      </c>
      <c r="D9" s="134" t="s">
        <v>227</v>
      </c>
      <c r="E9" s="135" t="s">
        <v>222</v>
      </c>
      <c r="F9" s="131"/>
      <c r="G9" s="130">
        <v>385</v>
      </c>
      <c r="H9" s="131"/>
      <c r="I9" s="260">
        <v>385</v>
      </c>
      <c r="J9" s="113" t="s">
        <v>146</v>
      </c>
      <c r="K9" s="113">
        <v>10</v>
      </c>
      <c r="L9" s="118">
        <f t="shared" si="0"/>
        <v>0</v>
      </c>
      <c r="M9" s="132">
        <v>2</v>
      </c>
      <c r="N9" s="137" t="s">
        <v>186</v>
      </c>
      <c r="P9" s="115" t="s">
        <v>145</v>
      </c>
    </row>
    <row r="10" spans="1:16" x14ac:dyDescent="0.25">
      <c r="A10" s="120"/>
      <c r="B10" s="320" t="s">
        <v>219</v>
      </c>
      <c r="C10" s="127" t="s">
        <v>228</v>
      </c>
      <c r="D10" s="134" t="s">
        <v>231</v>
      </c>
      <c r="E10" s="135" t="s">
        <v>222</v>
      </c>
      <c r="F10" s="131"/>
      <c r="G10" s="130">
        <v>25</v>
      </c>
      <c r="H10" s="131"/>
      <c r="I10" s="260">
        <v>25</v>
      </c>
      <c r="J10" s="113" t="s">
        <v>146</v>
      </c>
      <c r="K10" s="113">
        <v>6</v>
      </c>
      <c r="L10" s="118">
        <f t="shared" si="0"/>
        <v>0</v>
      </c>
      <c r="M10" s="132">
        <v>3</v>
      </c>
      <c r="N10" s="137" t="s">
        <v>136</v>
      </c>
      <c r="P10" s="115" t="s">
        <v>146</v>
      </c>
    </row>
    <row r="11" spans="1:16" x14ac:dyDescent="0.25">
      <c r="A11" s="120"/>
      <c r="B11" s="320" t="s">
        <v>219</v>
      </c>
      <c r="C11" s="127" t="s">
        <v>229</v>
      </c>
      <c r="D11" s="134" t="s">
        <v>230</v>
      </c>
      <c r="E11" s="135" t="s">
        <v>222</v>
      </c>
      <c r="F11" s="131"/>
      <c r="G11" s="130">
        <v>35</v>
      </c>
      <c r="H11" s="131">
        <v>7</v>
      </c>
      <c r="I11" s="260">
        <v>42</v>
      </c>
      <c r="J11" s="113" t="s">
        <v>146</v>
      </c>
      <c r="K11" s="113">
        <v>12</v>
      </c>
      <c r="L11" s="118">
        <f t="shared" si="0"/>
        <v>0</v>
      </c>
      <c r="M11" s="132">
        <v>4</v>
      </c>
      <c r="N11" s="138" t="s">
        <v>165</v>
      </c>
      <c r="P11" s="115" t="s">
        <v>13</v>
      </c>
    </row>
    <row r="12" spans="1:16" x14ac:dyDescent="0.25">
      <c r="A12" s="120"/>
      <c r="B12" s="320" t="s">
        <v>219</v>
      </c>
      <c r="C12" s="127" t="s">
        <v>232</v>
      </c>
      <c r="D12" s="134" t="s">
        <v>233</v>
      </c>
      <c r="E12" s="135" t="s">
        <v>222</v>
      </c>
      <c r="F12" s="131"/>
      <c r="G12" s="130">
        <v>324.32</v>
      </c>
      <c r="H12" s="131"/>
      <c r="I12" s="260">
        <v>324.32</v>
      </c>
      <c r="J12" s="113" t="s">
        <v>146</v>
      </c>
      <c r="K12" s="113">
        <v>1</v>
      </c>
      <c r="L12" s="118">
        <f t="shared" si="0"/>
        <v>0</v>
      </c>
      <c r="M12" s="132">
        <v>5</v>
      </c>
      <c r="N12" s="138" t="s">
        <v>166</v>
      </c>
      <c r="P12" s="115" t="s">
        <v>10</v>
      </c>
    </row>
    <row r="13" spans="1:16" ht="18" customHeight="1" thickBot="1" x14ac:dyDescent="0.3">
      <c r="A13" s="120"/>
      <c r="B13" s="320" t="s">
        <v>219</v>
      </c>
      <c r="C13" s="127" t="s">
        <v>234</v>
      </c>
      <c r="D13" s="134" t="s">
        <v>235</v>
      </c>
      <c r="E13" s="135" t="s">
        <v>222</v>
      </c>
      <c r="F13" s="131"/>
      <c r="G13" s="130">
        <v>293.82</v>
      </c>
      <c r="H13" s="131"/>
      <c r="I13" s="130">
        <v>293.82</v>
      </c>
      <c r="J13" s="113" t="s">
        <v>10</v>
      </c>
      <c r="K13" s="113">
        <v>1</v>
      </c>
      <c r="L13" s="118">
        <f t="shared" si="0"/>
        <v>0</v>
      </c>
      <c r="M13" s="132">
        <v>6</v>
      </c>
      <c r="N13" s="139" t="s">
        <v>142</v>
      </c>
      <c r="P13" s="115" t="s">
        <v>150</v>
      </c>
    </row>
    <row r="14" spans="1:16" x14ac:dyDescent="0.25">
      <c r="A14" s="120"/>
      <c r="B14" s="239" t="s">
        <v>240</v>
      </c>
      <c r="C14" s="236" t="s">
        <v>241</v>
      </c>
      <c r="D14" s="113" t="s">
        <v>8</v>
      </c>
      <c r="F14" s="118">
        <v>21375</v>
      </c>
      <c r="J14" s="113" t="s">
        <v>5</v>
      </c>
      <c r="K14" s="113">
        <v>1</v>
      </c>
      <c r="L14" s="118">
        <f>SUM(G15:H15)-I15</f>
        <v>0</v>
      </c>
      <c r="M14" s="140"/>
      <c r="N14" s="141" t="s">
        <v>87</v>
      </c>
      <c r="P14" s="115" t="s">
        <v>5</v>
      </c>
    </row>
    <row r="15" spans="1:16" x14ac:dyDescent="0.25">
      <c r="A15" s="120"/>
      <c r="B15" s="320" t="s">
        <v>236</v>
      </c>
      <c r="C15" s="127" t="s">
        <v>237</v>
      </c>
      <c r="D15" s="134" t="s">
        <v>238</v>
      </c>
      <c r="E15" s="135" t="s">
        <v>239</v>
      </c>
      <c r="F15" s="131"/>
      <c r="G15" s="130">
        <v>25.08</v>
      </c>
      <c r="H15" s="131">
        <v>5.0199999999999996</v>
      </c>
      <c r="I15" s="260">
        <v>30.1</v>
      </c>
      <c r="J15" s="113" t="s">
        <v>146</v>
      </c>
      <c r="K15" s="113">
        <v>4</v>
      </c>
      <c r="L15" s="118" t="s">
        <v>202</v>
      </c>
      <c r="M15" s="140">
        <v>1</v>
      </c>
      <c r="N15" s="142" t="s">
        <v>175</v>
      </c>
      <c r="P15" s="115"/>
    </row>
    <row r="16" spans="1:16" x14ac:dyDescent="0.25">
      <c r="A16" s="120"/>
      <c r="B16" s="320" t="s">
        <v>242</v>
      </c>
      <c r="C16" s="127" t="s">
        <v>243</v>
      </c>
      <c r="D16" s="134" t="s">
        <v>244</v>
      </c>
      <c r="E16" s="135" t="s">
        <v>222</v>
      </c>
      <c r="F16" s="131"/>
      <c r="G16" s="130">
        <v>600</v>
      </c>
      <c r="H16" s="131"/>
      <c r="I16" s="262">
        <v>600</v>
      </c>
      <c r="J16" s="113" t="s">
        <v>13</v>
      </c>
      <c r="K16" s="113">
        <v>1</v>
      </c>
      <c r="L16" s="118">
        <f t="shared" si="0"/>
        <v>0</v>
      </c>
      <c r="M16" s="140">
        <v>2</v>
      </c>
      <c r="N16" s="137" t="s">
        <v>109</v>
      </c>
    </row>
    <row r="17" spans="1:16" x14ac:dyDescent="0.25">
      <c r="A17" s="120"/>
      <c r="B17" s="320" t="s">
        <v>248</v>
      </c>
      <c r="C17" s="127" t="s">
        <v>249</v>
      </c>
      <c r="D17" s="134" t="s">
        <v>225</v>
      </c>
      <c r="E17" s="135"/>
      <c r="F17" s="131">
        <v>0.89</v>
      </c>
      <c r="G17" s="130"/>
      <c r="H17" s="131"/>
      <c r="I17" s="260"/>
      <c r="J17" s="113" t="s">
        <v>5</v>
      </c>
      <c r="K17" s="113">
        <v>3</v>
      </c>
      <c r="L17" s="118">
        <f t="shared" si="0"/>
        <v>0</v>
      </c>
      <c r="M17" s="140">
        <v>3</v>
      </c>
      <c r="N17" s="137" t="s">
        <v>110</v>
      </c>
      <c r="P17" s="113" t="s">
        <v>148</v>
      </c>
    </row>
    <row r="18" spans="1:16" x14ac:dyDescent="0.25">
      <c r="A18" s="120"/>
      <c r="B18" s="320" t="s">
        <v>250</v>
      </c>
      <c r="C18" s="127" t="s">
        <v>251</v>
      </c>
      <c r="D18" s="134" t="s">
        <v>238</v>
      </c>
      <c r="E18" s="135" t="s">
        <v>239</v>
      </c>
      <c r="F18" s="131"/>
      <c r="G18" s="130">
        <v>25.08</v>
      </c>
      <c r="H18" s="131">
        <v>5.0199999999999996</v>
      </c>
      <c r="I18" s="260">
        <v>30.1</v>
      </c>
      <c r="J18" s="113" t="s">
        <v>146</v>
      </c>
      <c r="K18" s="113">
        <v>4</v>
      </c>
      <c r="L18" s="118">
        <f t="shared" si="0"/>
        <v>0</v>
      </c>
      <c r="M18" s="140">
        <v>4</v>
      </c>
      <c r="N18" s="137" t="s">
        <v>111</v>
      </c>
      <c r="P18" s="113">
        <v>1</v>
      </c>
    </row>
    <row r="19" spans="1:16" x14ac:dyDescent="0.25">
      <c r="A19" s="120"/>
      <c r="B19" s="320" t="s">
        <v>252</v>
      </c>
      <c r="C19" s="127" t="s">
        <v>253</v>
      </c>
      <c r="D19" s="134" t="s">
        <v>254</v>
      </c>
      <c r="E19" s="135" t="s">
        <v>222</v>
      </c>
      <c r="F19" s="131"/>
      <c r="G19" s="130">
        <v>140</v>
      </c>
      <c r="H19" s="131"/>
      <c r="I19" s="260">
        <v>140</v>
      </c>
      <c r="J19" s="113" t="s">
        <v>146</v>
      </c>
      <c r="K19" s="113">
        <v>4</v>
      </c>
      <c r="L19" s="118">
        <f t="shared" si="0"/>
        <v>0</v>
      </c>
      <c r="M19" s="140">
        <v>5</v>
      </c>
      <c r="N19" s="137" t="s">
        <v>112</v>
      </c>
      <c r="P19" s="113">
        <v>2</v>
      </c>
    </row>
    <row r="20" spans="1:16" x14ac:dyDescent="0.25">
      <c r="A20" s="120"/>
      <c r="B20" s="320" t="s">
        <v>252</v>
      </c>
      <c r="C20" s="127" t="s">
        <v>255</v>
      </c>
      <c r="D20" s="134" t="s">
        <v>221</v>
      </c>
      <c r="E20" s="135" t="s">
        <v>222</v>
      </c>
      <c r="F20" s="131"/>
      <c r="G20" s="130">
        <v>27.5</v>
      </c>
      <c r="H20" s="131"/>
      <c r="I20" s="260">
        <v>27.5</v>
      </c>
      <c r="J20" s="113" t="s">
        <v>12</v>
      </c>
      <c r="K20" s="113">
        <v>5</v>
      </c>
      <c r="L20" s="118">
        <f t="shared" si="0"/>
        <v>0</v>
      </c>
      <c r="M20" s="140">
        <v>6</v>
      </c>
      <c r="N20" s="137" t="s">
        <v>120</v>
      </c>
      <c r="P20" s="113">
        <v>3</v>
      </c>
    </row>
    <row r="21" spans="1:16" x14ac:dyDescent="0.25">
      <c r="A21" s="120"/>
      <c r="B21" s="320" t="s">
        <v>252</v>
      </c>
      <c r="C21" s="127" t="s">
        <v>256</v>
      </c>
      <c r="D21" s="134" t="s">
        <v>257</v>
      </c>
      <c r="E21" s="135" t="s">
        <v>222</v>
      </c>
      <c r="F21" s="131"/>
      <c r="G21" s="130">
        <v>296.14999999999998</v>
      </c>
      <c r="H21" s="131"/>
      <c r="I21" s="260">
        <v>296.14999999999998</v>
      </c>
      <c r="J21" s="113" t="s">
        <v>146</v>
      </c>
      <c r="K21" s="113">
        <v>1</v>
      </c>
      <c r="L21" s="118">
        <f t="shared" si="0"/>
        <v>0</v>
      </c>
      <c r="M21" s="140">
        <v>7</v>
      </c>
      <c r="N21" s="137" t="s">
        <v>121</v>
      </c>
      <c r="P21" s="113">
        <v>4</v>
      </c>
    </row>
    <row r="22" spans="1:16" x14ac:dyDescent="0.25">
      <c r="A22" s="120"/>
      <c r="B22" s="320" t="s">
        <v>252</v>
      </c>
      <c r="C22" s="127" t="s">
        <v>258</v>
      </c>
      <c r="D22" s="134" t="s">
        <v>247</v>
      </c>
      <c r="E22" s="135" t="s">
        <v>222</v>
      </c>
      <c r="F22" s="131"/>
      <c r="G22" s="130">
        <v>54.48</v>
      </c>
      <c r="H22" s="131"/>
      <c r="I22" s="260">
        <v>54.48</v>
      </c>
      <c r="J22" s="113" t="s">
        <v>146</v>
      </c>
      <c r="K22" s="113">
        <v>2</v>
      </c>
      <c r="L22" s="118">
        <f t="shared" si="0"/>
        <v>0</v>
      </c>
      <c r="M22" s="140">
        <v>8</v>
      </c>
      <c r="N22" s="137" t="s">
        <v>122</v>
      </c>
      <c r="P22" s="113">
        <v>5</v>
      </c>
    </row>
    <row r="23" spans="1:16" x14ac:dyDescent="0.25">
      <c r="A23" s="120"/>
      <c r="B23" s="320" t="s">
        <v>252</v>
      </c>
      <c r="C23" s="127" t="s">
        <v>259</v>
      </c>
      <c r="D23" s="134" t="s">
        <v>260</v>
      </c>
      <c r="E23" s="135" t="s">
        <v>222</v>
      </c>
      <c r="F23" s="131"/>
      <c r="G23" s="130">
        <v>25</v>
      </c>
      <c r="H23" s="131"/>
      <c r="I23" s="260">
        <v>25</v>
      </c>
      <c r="J23" s="113" t="s">
        <v>146</v>
      </c>
      <c r="K23" s="113">
        <v>6</v>
      </c>
      <c r="L23" s="118">
        <f t="shared" si="0"/>
        <v>0</v>
      </c>
      <c r="M23" s="140">
        <v>9</v>
      </c>
      <c r="N23" s="137" t="s">
        <v>114</v>
      </c>
      <c r="P23" s="113">
        <v>6</v>
      </c>
    </row>
    <row r="24" spans="1:16" x14ac:dyDescent="0.25">
      <c r="A24" s="120"/>
      <c r="B24" s="320" t="s">
        <v>261</v>
      </c>
      <c r="C24" s="127" t="s">
        <v>262</v>
      </c>
      <c r="D24" s="134" t="s">
        <v>263</v>
      </c>
      <c r="E24" s="135" t="s">
        <v>222</v>
      </c>
      <c r="F24" s="131"/>
      <c r="G24" s="130">
        <v>68.5</v>
      </c>
      <c r="H24" s="131">
        <v>13.7</v>
      </c>
      <c r="I24" s="260">
        <v>82.2</v>
      </c>
      <c r="J24" s="113" t="s">
        <v>13</v>
      </c>
      <c r="K24" s="113">
        <v>2</v>
      </c>
      <c r="L24" s="118">
        <f t="shared" si="0"/>
        <v>0</v>
      </c>
      <c r="M24" s="140">
        <v>10</v>
      </c>
      <c r="N24" s="137" t="s">
        <v>136</v>
      </c>
      <c r="P24" s="113">
        <v>7</v>
      </c>
    </row>
    <row r="25" spans="1:16" x14ac:dyDescent="0.25">
      <c r="A25" s="120"/>
      <c r="B25" s="320" t="s">
        <v>264</v>
      </c>
      <c r="C25" s="127" t="s">
        <v>265</v>
      </c>
      <c r="D25" s="134" t="s">
        <v>244</v>
      </c>
      <c r="E25" s="135" t="s">
        <v>222</v>
      </c>
      <c r="F25" s="131"/>
      <c r="G25" s="130">
        <v>600</v>
      </c>
      <c r="H25" s="131"/>
      <c r="I25" s="260">
        <v>600</v>
      </c>
      <c r="J25" s="113" t="s">
        <v>13</v>
      </c>
      <c r="K25" s="113">
        <v>1</v>
      </c>
      <c r="L25" s="118">
        <f t="shared" si="0"/>
        <v>0</v>
      </c>
      <c r="M25" s="140" t="s">
        <v>202</v>
      </c>
      <c r="N25" s="137"/>
      <c r="P25" s="113">
        <v>8</v>
      </c>
    </row>
    <row r="26" spans="1:16" ht="15.75" thickBot="1" x14ac:dyDescent="0.3">
      <c r="A26" s="120"/>
      <c r="B26" s="320" t="s">
        <v>264</v>
      </c>
      <c r="C26" s="127" t="s">
        <v>266</v>
      </c>
      <c r="D26" s="134" t="s">
        <v>267</v>
      </c>
      <c r="E26" s="135" t="s">
        <v>222</v>
      </c>
      <c r="F26" s="131"/>
      <c r="G26" s="130">
        <v>175</v>
      </c>
      <c r="H26" s="131"/>
      <c r="I26" s="260">
        <v>175</v>
      </c>
      <c r="J26" s="113" t="s">
        <v>13</v>
      </c>
      <c r="K26" s="113">
        <v>2</v>
      </c>
      <c r="L26" s="118">
        <f t="shared" si="0"/>
        <v>0</v>
      </c>
      <c r="M26" s="140">
        <v>12</v>
      </c>
      <c r="N26" s="143" t="s">
        <v>159</v>
      </c>
      <c r="P26" s="113">
        <v>9</v>
      </c>
    </row>
    <row r="27" spans="1:16" x14ac:dyDescent="0.25">
      <c r="A27" s="120"/>
      <c r="B27" s="320" t="s">
        <v>264</v>
      </c>
      <c r="C27" s="127" t="s">
        <v>268</v>
      </c>
      <c r="D27" s="134" t="s">
        <v>269</v>
      </c>
      <c r="E27" s="135" t="s">
        <v>222</v>
      </c>
      <c r="F27" s="131"/>
      <c r="G27" s="130">
        <v>1250</v>
      </c>
      <c r="H27" s="131"/>
      <c r="I27" s="260">
        <v>1250</v>
      </c>
      <c r="J27" s="113" t="s">
        <v>145</v>
      </c>
      <c r="K27" s="113">
        <v>1</v>
      </c>
      <c r="L27" s="118">
        <f t="shared" si="0"/>
        <v>0</v>
      </c>
      <c r="M27" s="144"/>
      <c r="N27" s="145" t="s">
        <v>86</v>
      </c>
      <c r="P27" s="113">
        <v>10</v>
      </c>
    </row>
    <row r="28" spans="1:16" x14ac:dyDescent="0.25">
      <c r="A28" s="120"/>
      <c r="B28" s="320" t="s">
        <v>264</v>
      </c>
      <c r="C28" s="127" t="s">
        <v>270</v>
      </c>
      <c r="D28" s="134" t="s">
        <v>271</v>
      </c>
      <c r="E28" s="135" t="s">
        <v>222</v>
      </c>
      <c r="F28" s="131"/>
      <c r="G28" s="130">
        <v>1200</v>
      </c>
      <c r="H28" s="131"/>
      <c r="I28" s="260">
        <v>1200</v>
      </c>
      <c r="J28" s="113" t="s">
        <v>145</v>
      </c>
      <c r="K28" s="113">
        <v>1</v>
      </c>
      <c r="L28" s="118">
        <f t="shared" si="0"/>
        <v>0</v>
      </c>
      <c r="M28" s="144">
        <v>1</v>
      </c>
      <c r="N28" s="137" t="s">
        <v>78</v>
      </c>
      <c r="P28" s="113">
        <v>11</v>
      </c>
    </row>
    <row r="29" spans="1:16" x14ac:dyDescent="0.25">
      <c r="A29" s="120"/>
      <c r="B29" s="320" t="s">
        <v>264</v>
      </c>
      <c r="C29" s="127" t="s">
        <v>272</v>
      </c>
      <c r="D29" s="134" t="s">
        <v>273</v>
      </c>
      <c r="E29" s="135" t="s">
        <v>222</v>
      </c>
      <c r="F29" s="131"/>
      <c r="G29" s="130">
        <v>497.31</v>
      </c>
      <c r="H29" s="131"/>
      <c r="I29" s="260">
        <v>497.31</v>
      </c>
      <c r="J29" s="113" t="s">
        <v>146</v>
      </c>
      <c r="K29" s="113">
        <v>10</v>
      </c>
      <c r="L29" s="118">
        <f t="shared" si="0"/>
        <v>0</v>
      </c>
      <c r="M29" s="144">
        <v>2</v>
      </c>
      <c r="N29" s="138" t="s">
        <v>14</v>
      </c>
      <c r="P29" s="113">
        <v>12</v>
      </c>
    </row>
    <row r="30" spans="1:16" ht="15.75" thickBot="1" x14ac:dyDescent="0.3">
      <c r="A30" s="120"/>
      <c r="B30" s="320" t="s">
        <v>283</v>
      </c>
      <c r="C30" s="127" t="s">
        <v>284</v>
      </c>
      <c r="D30" s="134" t="s">
        <v>225</v>
      </c>
      <c r="E30" s="135"/>
      <c r="F30" s="131">
        <v>0.93</v>
      </c>
      <c r="G30" s="130"/>
      <c r="H30" s="131"/>
      <c r="I30" s="260"/>
      <c r="J30" s="113" t="s">
        <v>5</v>
      </c>
      <c r="K30" s="113">
        <v>3</v>
      </c>
      <c r="L30" s="118">
        <f t="shared" si="0"/>
        <v>0</v>
      </c>
      <c r="M30" s="144">
        <v>3</v>
      </c>
      <c r="N30" s="139" t="s">
        <v>152</v>
      </c>
      <c r="P30" s="113">
        <v>13</v>
      </c>
    </row>
    <row r="31" spans="1:16" x14ac:dyDescent="0.25">
      <c r="A31" s="120"/>
      <c r="B31" s="320"/>
      <c r="C31" s="127"/>
      <c r="D31" s="134"/>
      <c r="E31" s="135"/>
      <c r="F31" s="131"/>
      <c r="G31" s="130"/>
      <c r="H31" s="131"/>
      <c r="I31" s="260"/>
      <c r="L31" s="118">
        <f t="shared" si="0"/>
        <v>0</v>
      </c>
      <c r="M31" s="146"/>
      <c r="N31" s="147" t="s">
        <v>85</v>
      </c>
      <c r="P31" s="113">
        <v>14</v>
      </c>
    </row>
    <row r="32" spans="1:16" x14ac:dyDescent="0.25">
      <c r="A32" s="120"/>
      <c r="B32" s="320"/>
      <c r="C32" s="127"/>
      <c r="D32" s="134"/>
      <c r="E32" s="135"/>
      <c r="F32" s="131"/>
      <c r="G32" s="130"/>
      <c r="H32" s="131"/>
      <c r="I32" s="260"/>
      <c r="L32" s="118">
        <f t="shared" si="0"/>
        <v>0</v>
      </c>
      <c r="M32" s="148">
        <v>1</v>
      </c>
      <c r="N32" s="142" t="s">
        <v>11</v>
      </c>
      <c r="P32" s="113">
        <v>15</v>
      </c>
    </row>
    <row r="33" spans="1:14" x14ac:dyDescent="0.25">
      <c r="A33" s="120"/>
      <c r="B33" s="320"/>
      <c r="C33" s="127"/>
      <c r="D33" s="134"/>
      <c r="E33" s="135"/>
      <c r="F33" s="131"/>
      <c r="G33" s="130"/>
      <c r="H33" s="131"/>
      <c r="I33" s="260"/>
      <c r="L33" s="118">
        <f t="shared" si="0"/>
        <v>0</v>
      </c>
      <c r="M33" s="146">
        <v>2</v>
      </c>
      <c r="N33" s="142" t="s">
        <v>16</v>
      </c>
    </row>
    <row r="34" spans="1:14" x14ac:dyDescent="0.25">
      <c r="A34" s="120"/>
      <c r="B34" s="320"/>
      <c r="C34" s="127"/>
      <c r="D34" s="134"/>
      <c r="E34" s="135"/>
      <c r="F34" s="131"/>
      <c r="G34" s="130"/>
      <c r="H34" s="131"/>
      <c r="I34" s="260"/>
      <c r="L34" s="118">
        <f t="shared" si="0"/>
        <v>0</v>
      </c>
      <c r="M34" s="146">
        <v>3</v>
      </c>
      <c r="N34" s="137" t="s">
        <v>124</v>
      </c>
    </row>
    <row r="35" spans="1:14" x14ac:dyDescent="0.25">
      <c r="A35" s="120"/>
      <c r="B35" s="320"/>
      <c r="C35" s="127"/>
      <c r="D35" s="134"/>
      <c r="E35" s="135"/>
      <c r="F35" s="131"/>
      <c r="G35" s="130"/>
      <c r="H35" s="131"/>
      <c r="I35" s="260"/>
      <c r="L35" s="118">
        <f t="shared" si="0"/>
        <v>0</v>
      </c>
      <c r="M35" s="146">
        <v>4</v>
      </c>
      <c r="N35" s="137" t="s">
        <v>151</v>
      </c>
    </row>
    <row r="36" spans="1:14" x14ac:dyDescent="0.25">
      <c r="A36" s="120"/>
      <c r="B36" s="320"/>
      <c r="C36" s="127"/>
      <c r="D36" s="134"/>
      <c r="E36" s="135"/>
      <c r="F36" s="131"/>
      <c r="G36" s="130"/>
      <c r="H36" s="131"/>
      <c r="I36" s="260"/>
      <c r="L36" s="118">
        <f t="shared" si="0"/>
        <v>0</v>
      </c>
      <c r="M36" s="146">
        <v>5</v>
      </c>
      <c r="N36" s="137" t="s">
        <v>125</v>
      </c>
    </row>
    <row r="37" spans="1:14" x14ac:dyDescent="0.25">
      <c r="A37" s="120"/>
      <c r="B37" s="320"/>
      <c r="C37" s="127"/>
      <c r="D37" s="134"/>
      <c r="E37" s="135"/>
      <c r="F37" s="131"/>
      <c r="G37" s="130"/>
      <c r="H37" s="131"/>
      <c r="I37" s="260"/>
      <c r="L37" s="118">
        <f t="shared" si="0"/>
        <v>0</v>
      </c>
      <c r="M37" s="146">
        <v>6</v>
      </c>
      <c r="N37" s="137" t="s">
        <v>126</v>
      </c>
    </row>
    <row r="38" spans="1:14" x14ac:dyDescent="0.25">
      <c r="A38" s="120"/>
      <c r="B38" s="320"/>
      <c r="C38" s="127"/>
      <c r="D38" s="134"/>
      <c r="E38" s="135"/>
      <c r="F38" s="131"/>
      <c r="G38" s="130"/>
      <c r="H38" s="131"/>
      <c r="I38" s="260"/>
      <c r="L38" s="118">
        <f t="shared" si="0"/>
        <v>0</v>
      </c>
      <c r="M38" s="146">
        <v>7</v>
      </c>
      <c r="N38" s="137" t="s">
        <v>22</v>
      </c>
    </row>
    <row r="39" spans="1:14" x14ac:dyDescent="0.25">
      <c r="A39" s="120"/>
      <c r="B39" s="320"/>
      <c r="C39" s="127"/>
      <c r="D39" s="134"/>
      <c r="E39" s="135"/>
      <c r="F39" s="131"/>
      <c r="G39" s="130"/>
      <c r="H39" s="131"/>
      <c r="I39" s="260"/>
      <c r="L39" s="118">
        <f t="shared" si="0"/>
        <v>0</v>
      </c>
      <c r="M39" s="146">
        <v>8</v>
      </c>
      <c r="N39" s="137" t="s">
        <v>79</v>
      </c>
    </row>
    <row r="40" spans="1:14" x14ac:dyDescent="0.25">
      <c r="A40" s="120"/>
      <c r="B40" s="320"/>
      <c r="C40" s="127"/>
      <c r="D40" s="134"/>
      <c r="E40" s="252"/>
      <c r="F40" s="131"/>
      <c r="G40" s="130"/>
      <c r="H40" s="131"/>
      <c r="I40" s="260"/>
      <c r="L40" s="118">
        <f t="shared" si="0"/>
        <v>0</v>
      </c>
      <c r="M40" s="146">
        <v>9</v>
      </c>
      <c r="N40" s="137" t="s">
        <v>23</v>
      </c>
    </row>
    <row r="41" spans="1:14" x14ac:dyDescent="0.25">
      <c r="A41" s="120"/>
      <c r="B41" s="320"/>
      <c r="C41" s="127"/>
      <c r="D41" s="134"/>
      <c r="E41" s="135"/>
      <c r="G41" s="130"/>
      <c r="H41" s="131"/>
      <c r="I41" s="260"/>
      <c r="L41" s="118">
        <f t="shared" si="0"/>
        <v>0</v>
      </c>
      <c r="M41" s="146">
        <v>10</v>
      </c>
      <c r="N41" s="137" t="s">
        <v>2</v>
      </c>
    </row>
    <row r="42" spans="1:14" x14ac:dyDescent="0.25">
      <c r="A42" s="120"/>
      <c r="B42" s="320"/>
      <c r="C42" s="127"/>
      <c r="D42" s="134"/>
      <c r="E42" s="135"/>
      <c r="G42" s="130"/>
      <c r="H42" s="131"/>
      <c r="I42" s="260"/>
      <c r="L42" s="118">
        <f t="shared" si="0"/>
        <v>0</v>
      </c>
      <c r="M42" s="146">
        <v>11</v>
      </c>
      <c r="N42" s="138" t="s">
        <v>24</v>
      </c>
    </row>
    <row r="43" spans="1:14" ht="15.75" thickBot="1" x14ac:dyDescent="0.3">
      <c r="A43" s="120"/>
      <c r="B43" s="320"/>
      <c r="C43" s="127"/>
      <c r="D43" s="134"/>
      <c r="E43" s="135"/>
      <c r="G43" s="130"/>
      <c r="H43" s="131"/>
      <c r="I43" s="260"/>
      <c r="L43" s="118">
        <f t="shared" si="0"/>
        <v>0</v>
      </c>
      <c r="M43" s="146">
        <v>12</v>
      </c>
      <c r="N43" s="139" t="s">
        <v>46</v>
      </c>
    </row>
    <row r="44" spans="1:14" x14ac:dyDescent="0.25">
      <c r="A44" s="120"/>
      <c r="B44" s="320"/>
      <c r="C44" s="127"/>
      <c r="D44" s="134"/>
      <c r="E44" s="135"/>
      <c r="F44" s="131"/>
      <c r="G44" s="130"/>
      <c r="H44" s="131"/>
      <c r="I44" s="260"/>
      <c r="L44" s="118">
        <f t="shared" si="0"/>
        <v>0</v>
      </c>
      <c r="M44" s="149"/>
      <c r="N44" s="150" t="s">
        <v>84</v>
      </c>
    </row>
    <row r="45" spans="1:14" x14ac:dyDescent="0.25">
      <c r="A45" s="120"/>
      <c r="B45" s="320"/>
      <c r="C45" s="127"/>
      <c r="D45" s="134"/>
      <c r="E45" s="135"/>
      <c r="F45" s="131"/>
      <c r="G45" s="130"/>
      <c r="H45" s="131"/>
      <c r="I45" s="260"/>
      <c r="L45" s="118">
        <f t="shared" si="0"/>
        <v>0</v>
      </c>
      <c r="M45" s="151">
        <v>1</v>
      </c>
      <c r="N45" s="137" t="s">
        <v>17</v>
      </c>
    </row>
    <row r="46" spans="1:14" x14ac:dyDescent="0.25">
      <c r="A46" s="120"/>
      <c r="B46" s="320"/>
      <c r="C46" s="127"/>
      <c r="D46" s="134"/>
      <c r="E46" s="135"/>
      <c r="F46" s="131"/>
      <c r="G46" s="130"/>
      <c r="H46" s="131"/>
      <c r="I46" s="260"/>
      <c r="L46" s="118">
        <f t="shared" si="0"/>
        <v>0</v>
      </c>
      <c r="M46" s="149">
        <v>2</v>
      </c>
      <c r="N46" s="137" t="s">
        <v>18</v>
      </c>
    </row>
    <row r="47" spans="1:14" x14ac:dyDescent="0.25">
      <c r="A47" s="120"/>
      <c r="B47" s="320"/>
      <c r="C47" s="127"/>
      <c r="D47" s="134"/>
      <c r="E47" s="135"/>
      <c r="F47" s="131"/>
      <c r="G47" s="130"/>
      <c r="H47" s="131"/>
      <c r="I47" s="260"/>
      <c r="L47" s="118">
        <f t="shared" si="0"/>
        <v>0</v>
      </c>
      <c r="M47" s="149">
        <v>3</v>
      </c>
      <c r="N47" s="137" t="s">
        <v>19</v>
      </c>
    </row>
    <row r="48" spans="1:14" x14ac:dyDescent="0.25">
      <c r="A48" s="120"/>
      <c r="B48" s="320"/>
      <c r="C48" s="127"/>
      <c r="D48" s="134"/>
      <c r="E48" s="135"/>
      <c r="F48" s="131"/>
      <c r="G48" s="130"/>
      <c r="H48" s="131"/>
      <c r="I48" s="260"/>
      <c r="L48" s="118">
        <f t="shared" si="0"/>
        <v>0</v>
      </c>
      <c r="M48" s="149">
        <v>4</v>
      </c>
      <c r="N48" s="137" t="s">
        <v>20</v>
      </c>
    </row>
    <row r="49" spans="1:14" x14ac:dyDescent="0.25">
      <c r="A49" s="120"/>
      <c r="B49" s="320"/>
      <c r="C49" s="127"/>
      <c r="D49" s="134"/>
      <c r="E49" s="135"/>
      <c r="F49" s="131"/>
      <c r="G49" s="130"/>
      <c r="H49" s="131"/>
      <c r="I49" s="260"/>
      <c r="L49" s="118">
        <f t="shared" si="0"/>
        <v>0</v>
      </c>
      <c r="M49" s="149">
        <v>5</v>
      </c>
      <c r="N49" s="138" t="s">
        <v>155</v>
      </c>
    </row>
    <row r="50" spans="1:14" ht="15.75" thickBot="1" x14ac:dyDescent="0.3">
      <c r="A50" s="120"/>
      <c r="B50" s="320"/>
      <c r="C50" s="127"/>
      <c r="D50" s="134"/>
      <c r="E50" s="135"/>
      <c r="F50" s="131"/>
      <c r="G50" s="130"/>
      <c r="H50" s="131"/>
      <c r="I50" s="260"/>
      <c r="L50" s="118">
        <f t="shared" si="0"/>
        <v>0</v>
      </c>
      <c r="M50" s="149">
        <v>6</v>
      </c>
      <c r="N50" s="139" t="s">
        <v>21</v>
      </c>
    </row>
    <row r="51" spans="1:14" x14ac:dyDescent="0.25">
      <c r="A51" s="120"/>
      <c r="B51" s="320"/>
      <c r="C51" s="127"/>
      <c r="D51" s="134"/>
      <c r="E51" s="135"/>
      <c r="F51" s="131"/>
      <c r="G51" s="130"/>
      <c r="H51" s="131"/>
      <c r="I51" s="260"/>
      <c r="L51" s="118">
        <f t="shared" si="0"/>
        <v>0</v>
      </c>
      <c r="M51" s="152"/>
      <c r="N51" s="153" t="s">
        <v>83</v>
      </c>
    </row>
    <row r="52" spans="1:14" x14ac:dyDescent="0.25">
      <c r="A52" s="120"/>
      <c r="B52" s="320"/>
      <c r="C52" s="127"/>
      <c r="D52" s="134"/>
      <c r="E52" s="135"/>
      <c r="F52" s="131"/>
      <c r="G52" s="130"/>
      <c r="H52" s="131"/>
      <c r="I52" s="260"/>
      <c r="L52" s="118">
        <f t="shared" si="0"/>
        <v>0</v>
      </c>
      <c r="M52" s="152">
        <v>1</v>
      </c>
      <c r="N52" s="142" t="s">
        <v>25</v>
      </c>
    </row>
    <row r="53" spans="1:14" ht="15.75" thickBot="1" x14ac:dyDescent="0.3">
      <c r="A53" s="120"/>
      <c r="B53" s="320"/>
      <c r="C53" s="127"/>
      <c r="D53" s="134"/>
      <c r="E53" s="135"/>
      <c r="F53" s="131"/>
      <c r="G53" s="130"/>
      <c r="H53" s="131"/>
      <c r="I53" s="260"/>
      <c r="L53" s="118">
        <f t="shared" si="0"/>
        <v>0</v>
      </c>
      <c r="M53" s="152">
        <v>2</v>
      </c>
      <c r="N53" s="154" t="s">
        <v>115</v>
      </c>
    </row>
    <row r="54" spans="1:14" x14ac:dyDescent="0.25">
      <c r="A54" s="120"/>
      <c r="B54" s="320"/>
      <c r="C54" s="127"/>
      <c r="D54" s="134"/>
      <c r="E54" s="135"/>
      <c r="F54" s="131"/>
      <c r="G54" s="130"/>
      <c r="H54" s="131"/>
      <c r="I54" s="260"/>
      <c r="L54" s="118">
        <f t="shared" si="0"/>
        <v>0</v>
      </c>
      <c r="M54" s="155"/>
      <c r="N54" s="264" t="s">
        <v>5</v>
      </c>
    </row>
    <row r="55" spans="1:14" x14ac:dyDescent="0.25">
      <c r="A55" s="120"/>
      <c r="B55" s="320"/>
      <c r="C55" s="127"/>
      <c r="D55" s="134"/>
      <c r="E55" s="135"/>
      <c r="F55" s="131"/>
      <c r="G55" s="130"/>
      <c r="H55" s="131"/>
      <c r="I55" s="260"/>
      <c r="L55" s="118">
        <f t="shared" si="0"/>
        <v>0</v>
      </c>
      <c r="M55" s="155">
        <v>1</v>
      </c>
      <c r="N55" s="142" t="s">
        <v>8</v>
      </c>
    </row>
    <row r="56" spans="1:14" x14ac:dyDescent="0.25">
      <c r="A56" s="120"/>
      <c r="B56" s="320"/>
      <c r="C56" s="127"/>
      <c r="D56" s="134"/>
      <c r="E56" s="135"/>
      <c r="F56" s="131"/>
      <c r="G56" s="130"/>
      <c r="H56" s="131"/>
      <c r="I56" s="260"/>
      <c r="L56" s="118">
        <f t="shared" si="0"/>
        <v>0</v>
      </c>
      <c r="M56" s="155">
        <v>2</v>
      </c>
      <c r="N56" s="142" t="s">
        <v>119</v>
      </c>
    </row>
    <row r="57" spans="1:14" x14ac:dyDescent="0.25">
      <c r="A57" s="120"/>
      <c r="B57" s="320"/>
      <c r="C57" s="127"/>
      <c r="D57" s="134"/>
      <c r="E57" s="135"/>
      <c r="F57" s="131"/>
      <c r="G57" s="130"/>
      <c r="H57" s="131"/>
      <c r="I57" s="260"/>
      <c r="L57" s="118">
        <f t="shared" si="0"/>
        <v>0</v>
      </c>
      <c r="M57" s="155">
        <v>3</v>
      </c>
      <c r="N57" s="142" t="s">
        <v>45</v>
      </c>
    </row>
    <row r="58" spans="1:14" x14ac:dyDescent="0.25">
      <c r="A58" s="120"/>
      <c r="B58" s="320"/>
      <c r="C58" s="127"/>
      <c r="D58" s="134"/>
      <c r="E58" s="135"/>
      <c r="F58" s="131"/>
      <c r="G58" s="130"/>
      <c r="H58" s="131"/>
      <c r="I58" s="260"/>
      <c r="L58" s="118">
        <f t="shared" si="0"/>
        <v>0</v>
      </c>
      <c r="M58" s="155">
        <v>4</v>
      </c>
      <c r="N58" s="142" t="s">
        <v>81</v>
      </c>
    </row>
    <row r="59" spans="1:14" x14ac:dyDescent="0.25">
      <c r="A59" s="120"/>
      <c r="B59" s="320"/>
      <c r="C59" s="127"/>
      <c r="D59" s="134"/>
      <c r="E59" s="135"/>
      <c r="F59" s="131"/>
      <c r="G59" s="130"/>
      <c r="H59" s="131"/>
      <c r="I59" s="260"/>
      <c r="L59" s="118">
        <f t="shared" si="0"/>
        <v>0</v>
      </c>
      <c r="M59" s="155">
        <v>5</v>
      </c>
      <c r="N59" s="113" t="s">
        <v>156</v>
      </c>
    </row>
    <row r="60" spans="1:14" x14ac:dyDescent="0.25">
      <c r="A60" s="120"/>
      <c r="B60" s="320"/>
      <c r="C60" s="127"/>
      <c r="D60" s="134"/>
      <c r="E60" s="135"/>
      <c r="F60" s="131"/>
      <c r="G60" s="130"/>
      <c r="H60" s="131"/>
      <c r="I60" s="260"/>
      <c r="L60" s="118">
        <f t="shared" si="0"/>
        <v>0</v>
      </c>
    </row>
    <row r="61" spans="1:14" x14ac:dyDescent="0.25">
      <c r="A61" s="120"/>
      <c r="B61" s="320"/>
      <c r="C61" s="127"/>
      <c r="D61" s="134"/>
      <c r="E61" s="135"/>
      <c r="F61" s="131"/>
      <c r="G61" s="130"/>
      <c r="H61" s="131"/>
      <c r="I61" s="260"/>
      <c r="L61" s="118">
        <f t="shared" si="0"/>
        <v>0</v>
      </c>
    </row>
    <row r="62" spans="1:14" x14ac:dyDescent="0.25">
      <c r="A62" s="120"/>
      <c r="B62" s="320"/>
      <c r="C62" s="127"/>
      <c r="D62" s="134"/>
      <c r="E62" s="135"/>
      <c r="F62" s="131"/>
      <c r="G62" s="130"/>
      <c r="H62" s="131"/>
      <c r="I62" s="260"/>
      <c r="L62" s="118">
        <f t="shared" si="0"/>
        <v>0</v>
      </c>
    </row>
    <row r="63" spans="1:14" x14ac:dyDescent="0.25">
      <c r="A63" s="120"/>
      <c r="B63" s="320"/>
      <c r="C63" s="127"/>
      <c r="D63" s="134"/>
      <c r="E63" s="135"/>
      <c r="F63" s="131"/>
      <c r="G63" s="130"/>
      <c r="H63" s="131"/>
      <c r="I63" s="260"/>
      <c r="L63" s="118">
        <f t="shared" si="0"/>
        <v>0</v>
      </c>
    </row>
    <row r="64" spans="1:14" x14ac:dyDescent="0.25">
      <c r="A64" s="120"/>
      <c r="B64" s="320"/>
      <c r="C64" s="127"/>
      <c r="D64" s="134"/>
      <c r="E64" s="135"/>
      <c r="F64" s="131"/>
      <c r="G64" s="130"/>
      <c r="H64" s="131"/>
      <c r="I64" s="260"/>
      <c r="L64" s="118">
        <f t="shared" si="0"/>
        <v>0</v>
      </c>
    </row>
    <row r="65" spans="1:12" x14ac:dyDescent="0.25">
      <c r="A65" s="120"/>
      <c r="B65" s="320"/>
      <c r="C65" s="127"/>
      <c r="D65" s="134"/>
      <c r="E65" s="135"/>
      <c r="F65" s="131"/>
      <c r="G65" s="130"/>
      <c r="H65" s="131"/>
      <c r="I65" s="260"/>
      <c r="L65" s="118">
        <f t="shared" si="0"/>
        <v>0</v>
      </c>
    </row>
    <row r="66" spans="1:12" x14ac:dyDescent="0.25">
      <c r="A66" s="120"/>
      <c r="B66" s="320"/>
      <c r="C66" s="127"/>
      <c r="D66" s="134"/>
      <c r="E66" s="135"/>
      <c r="F66" s="131"/>
      <c r="G66" s="130"/>
      <c r="H66" s="131"/>
      <c r="I66" s="260"/>
      <c r="L66" s="118">
        <f t="shared" si="0"/>
        <v>0</v>
      </c>
    </row>
    <row r="67" spans="1:12" x14ac:dyDescent="0.25">
      <c r="A67" s="120"/>
      <c r="B67" s="320"/>
      <c r="C67" s="127"/>
      <c r="D67" s="134"/>
      <c r="E67" s="135"/>
      <c r="F67" s="131"/>
      <c r="G67" s="130"/>
      <c r="H67" s="131"/>
      <c r="I67" s="260"/>
      <c r="L67" s="118">
        <f t="shared" si="0"/>
        <v>0</v>
      </c>
    </row>
    <row r="68" spans="1:12" x14ac:dyDescent="0.25">
      <c r="A68" s="120"/>
      <c r="B68" s="320"/>
      <c r="C68" s="127"/>
      <c r="D68" s="134"/>
      <c r="E68" s="135"/>
      <c r="F68" s="131"/>
      <c r="G68" s="130"/>
      <c r="H68" s="131"/>
      <c r="I68" s="260"/>
      <c r="L68" s="118">
        <f t="shared" si="0"/>
        <v>0</v>
      </c>
    </row>
    <row r="69" spans="1:12" x14ac:dyDescent="0.25">
      <c r="A69" s="120"/>
      <c r="B69" s="320"/>
      <c r="C69" s="127"/>
      <c r="D69" s="134"/>
      <c r="E69" s="135"/>
      <c r="F69" s="131"/>
      <c r="G69" s="130"/>
      <c r="H69" s="131"/>
      <c r="I69" s="260"/>
      <c r="L69" s="118">
        <f t="shared" si="0"/>
        <v>0</v>
      </c>
    </row>
    <row r="70" spans="1:12" x14ac:dyDescent="0.25">
      <c r="A70" s="120"/>
      <c r="B70" s="320"/>
      <c r="C70" s="127"/>
      <c r="D70" s="134"/>
      <c r="E70" s="135"/>
      <c r="F70" s="131"/>
      <c r="G70" s="130"/>
      <c r="H70" s="131"/>
      <c r="I70" s="260"/>
      <c r="L70" s="118">
        <f t="shared" si="0"/>
        <v>0</v>
      </c>
    </row>
    <row r="71" spans="1:12" x14ac:dyDescent="0.25">
      <c r="A71" s="120"/>
      <c r="B71" s="320"/>
      <c r="C71" s="127"/>
      <c r="D71" s="134"/>
      <c r="E71" s="135"/>
      <c r="F71" s="131"/>
      <c r="G71" s="130"/>
      <c r="H71" s="131"/>
      <c r="I71" s="260"/>
      <c r="L71" s="118">
        <f t="shared" si="0"/>
        <v>0</v>
      </c>
    </row>
    <row r="72" spans="1:12" x14ac:dyDescent="0.25">
      <c r="A72" s="120"/>
      <c r="B72" s="320"/>
      <c r="C72" s="127"/>
      <c r="D72" s="134"/>
      <c r="E72" s="135"/>
      <c r="F72" s="131"/>
      <c r="G72" s="130"/>
      <c r="H72" s="131"/>
      <c r="I72" s="260"/>
      <c r="L72" s="118">
        <f t="shared" ref="L72:L135" si="1">SUM(G72:H72)-I72</f>
        <v>0</v>
      </c>
    </row>
    <row r="73" spans="1:12" x14ac:dyDescent="0.25">
      <c r="A73" s="120"/>
      <c r="B73" s="320"/>
      <c r="C73" s="127"/>
      <c r="D73" s="134"/>
      <c r="E73" s="135"/>
      <c r="F73" s="131"/>
      <c r="G73" s="130"/>
      <c r="H73" s="131"/>
      <c r="I73" s="260"/>
      <c r="L73" s="118">
        <f t="shared" si="1"/>
        <v>0</v>
      </c>
    </row>
    <row r="74" spans="1:12" x14ac:dyDescent="0.25">
      <c r="A74" s="120"/>
      <c r="B74" s="320"/>
      <c r="C74" s="127"/>
      <c r="D74" s="134"/>
      <c r="E74" s="135"/>
      <c r="F74" s="131"/>
      <c r="G74" s="130"/>
      <c r="H74" s="131"/>
      <c r="I74" s="260"/>
      <c r="L74" s="118">
        <f t="shared" si="1"/>
        <v>0</v>
      </c>
    </row>
    <row r="75" spans="1:12" x14ac:dyDescent="0.25">
      <c r="A75" s="120"/>
      <c r="B75" s="320"/>
      <c r="C75" s="127"/>
      <c r="D75" s="134"/>
      <c r="E75" s="135"/>
      <c r="F75" s="131"/>
      <c r="G75" s="130"/>
      <c r="H75" s="131"/>
      <c r="I75" s="260"/>
      <c r="L75" s="118">
        <f t="shared" si="1"/>
        <v>0</v>
      </c>
    </row>
    <row r="76" spans="1:12" x14ac:dyDescent="0.25">
      <c r="A76" s="120"/>
      <c r="B76" s="319"/>
      <c r="C76" s="127"/>
      <c r="D76" s="134"/>
      <c r="E76" s="135"/>
      <c r="G76" s="130"/>
      <c r="H76" s="131"/>
      <c r="I76" s="260"/>
      <c r="L76" s="118">
        <f t="shared" si="1"/>
        <v>0</v>
      </c>
    </row>
    <row r="77" spans="1:12" x14ac:dyDescent="0.25">
      <c r="A77" s="120"/>
      <c r="B77" s="320"/>
      <c r="C77" s="127"/>
      <c r="D77" s="134"/>
      <c r="E77" s="135"/>
      <c r="F77" s="131"/>
      <c r="G77" s="130"/>
      <c r="H77" s="131"/>
      <c r="I77" s="260"/>
      <c r="L77" s="118">
        <f t="shared" si="1"/>
        <v>0</v>
      </c>
    </row>
    <row r="78" spans="1:12" x14ac:dyDescent="0.25">
      <c r="A78" s="120"/>
      <c r="B78" s="320"/>
      <c r="C78" s="127"/>
      <c r="D78" s="134"/>
      <c r="E78" s="135"/>
      <c r="F78" s="131"/>
      <c r="G78" s="130"/>
      <c r="H78" s="131"/>
      <c r="I78" s="260"/>
      <c r="L78" s="118">
        <f t="shared" si="1"/>
        <v>0</v>
      </c>
    </row>
    <row r="79" spans="1:12" x14ac:dyDescent="0.25">
      <c r="A79" s="120"/>
      <c r="B79" s="320"/>
      <c r="C79" s="127"/>
      <c r="D79" s="134"/>
      <c r="E79" s="135"/>
      <c r="F79" s="131"/>
      <c r="G79" s="130"/>
      <c r="H79" s="131"/>
      <c r="I79" s="260"/>
      <c r="L79" s="118">
        <f t="shared" si="1"/>
        <v>0</v>
      </c>
    </row>
    <row r="80" spans="1:12" x14ac:dyDescent="0.25">
      <c r="A80" s="120"/>
      <c r="B80" s="320"/>
      <c r="C80" s="127"/>
      <c r="D80" s="134"/>
      <c r="E80" s="135"/>
      <c r="F80" s="131"/>
      <c r="G80" s="130"/>
      <c r="H80" s="131"/>
      <c r="I80" s="260"/>
      <c r="L80" s="118">
        <f t="shared" si="1"/>
        <v>0</v>
      </c>
    </row>
    <row r="81" spans="1:12" x14ac:dyDescent="0.25">
      <c r="A81" s="120"/>
      <c r="B81" s="320"/>
      <c r="C81" s="127"/>
      <c r="D81" s="134"/>
      <c r="E81" s="135"/>
      <c r="F81" s="131"/>
      <c r="G81" s="130"/>
      <c r="H81" s="131"/>
      <c r="I81" s="260"/>
      <c r="L81" s="118">
        <f t="shared" si="1"/>
        <v>0</v>
      </c>
    </row>
    <row r="82" spans="1:12" x14ac:dyDescent="0.25">
      <c r="A82" s="120"/>
      <c r="B82" s="320"/>
      <c r="C82" s="127"/>
      <c r="D82" s="134"/>
      <c r="E82" s="135"/>
      <c r="F82" s="131"/>
      <c r="G82" s="130"/>
      <c r="H82" s="131"/>
      <c r="I82" s="260"/>
      <c r="L82" s="118">
        <f t="shared" si="1"/>
        <v>0</v>
      </c>
    </row>
    <row r="83" spans="1:12" x14ac:dyDescent="0.25">
      <c r="A83" s="120"/>
      <c r="B83" s="320"/>
      <c r="C83" s="127"/>
      <c r="D83" s="134"/>
      <c r="E83" s="135"/>
      <c r="F83" s="131"/>
      <c r="G83" s="130"/>
      <c r="H83" s="131"/>
      <c r="I83" s="260"/>
      <c r="L83" s="118">
        <f t="shared" si="1"/>
        <v>0</v>
      </c>
    </row>
    <row r="84" spans="1:12" x14ac:dyDescent="0.25">
      <c r="A84" s="120"/>
      <c r="B84" s="320"/>
      <c r="C84" s="127"/>
      <c r="D84" s="134"/>
      <c r="E84" s="135"/>
      <c r="F84" s="131"/>
      <c r="G84" s="130"/>
      <c r="H84" s="131"/>
      <c r="I84" s="260"/>
      <c r="L84" s="118">
        <f t="shared" si="1"/>
        <v>0</v>
      </c>
    </row>
    <row r="85" spans="1:12" x14ac:dyDescent="0.25">
      <c r="A85" s="120"/>
      <c r="B85" s="320"/>
      <c r="C85" s="127"/>
      <c r="D85" s="134"/>
      <c r="E85" s="135"/>
      <c r="F85" s="131"/>
      <c r="G85" s="130"/>
      <c r="H85" s="131"/>
      <c r="I85" s="260"/>
      <c r="L85" s="118">
        <f t="shared" si="1"/>
        <v>0</v>
      </c>
    </row>
    <row r="86" spans="1:12" x14ac:dyDescent="0.25">
      <c r="A86" s="120"/>
      <c r="B86" s="320"/>
      <c r="C86" s="127"/>
      <c r="D86" s="134"/>
      <c r="E86" s="135"/>
      <c r="F86" s="131"/>
      <c r="G86" s="130"/>
      <c r="H86" s="131"/>
      <c r="I86" s="260"/>
      <c r="L86" s="118">
        <f t="shared" si="1"/>
        <v>0</v>
      </c>
    </row>
    <row r="87" spans="1:12" x14ac:dyDescent="0.25">
      <c r="A87" s="120"/>
      <c r="B87" s="320"/>
      <c r="C87" s="127"/>
      <c r="D87" s="134"/>
      <c r="E87" s="135"/>
      <c r="F87" s="131"/>
      <c r="G87" s="130"/>
      <c r="H87" s="131"/>
      <c r="I87" s="260"/>
      <c r="L87" s="118">
        <f t="shared" si="1"/>
        <v>0</v>
      </c>
    </row>
    <row r="88" spans="1:12" x14ac:dyDescent="0.25">
      <c r="A88" s="120"/>
      <c r="B88" s="320"/>
      <c r="C88" s="127"/>
      <c r="D88" s="134"/>
      <c r="E88" s="135"/>
      <c r="F88" s="131"/>
      <c r="G88" s="130"/>
      <c r="H88" s="131"/>
      <c r="I88" s="260"/>
      <c r="L88" s="118">
        <f t="shared" si="1"/>
        <v>0</v>
      </c>
    </row>
    <row r="89" spans="1:12" x14ac:dyDescent="0.25">
      <c r="A89" s="120"/>
      <c r="B89" s="320"/>
      <c r="E89" s="135"/>
      <c r="F89" s="131"/>
      <c r="G89" s="130"/>
      <c r="H89" s="131"/>
      <c r="I89" s="260"/>
      <c r="L89" s="118">
        <f t="shared" si="1"/>
        <v>0</v>
      </c>
    </row>
    <row r="90" spans="1:12" x14ac:dyDescent="0.25">
      <c r="A90" s="120"/>
      <c r="B90" s="320"/>
      <c r="C90" s="127"/>
      <c r="D90" s="134"/>
      <c r="E90" s="135"/>
      <c r="F90" s="131"/>
      <c r="G90" s="130"/>
      <c r="H90" s="131"/>
      <c r="I90" s="260"/>
      <c r="L90" s="118">
        <f t="shared" si="1"/>
        <v>0</v>
      </c>
    </row>
    <row r="91" spans="1:12" x14ac:dyDescent="0.25">
      <c r="A91" s="120"/>
      <c r="B91" s="320"/>
      <c r="C91" s="127"/>
      <c r="D91" s="134"/>
      <c r="E91" s="135"/>
      <c r="F91" s="131"/>
      <c r="G91" s="130"/>
      <c r="H91" s="131"/>
      <c r="I91" s="260"/>
      <c r="L91" s="118">
        <f t="shared" si="1"/>
        <v>0</v>
      </c>
    </row>
    <row r="92" spans="1:12" x14ac:dyDescent="0.25">
      <c r="A92" s="120"/>
      <c r="B92" s="320"/>
      <c r="C92" s="127"/>
      <c r="D92" s="134"/>
      <c r="E92" s="135"/>
      <c r="F92" s="131"/>
      <c r="G92" s="130"/>
      <c r="H92" s="131"/>
      <c r="I92" s="260"/>
      <c r="L92" s="118">
        <f t="shared" si="1"/>
        <v>0</v>
      </c>
    </row>
    <row r="93" spans="1:12" x14ac:dyDescent="0.25">
      <c r="A93" s="120"/>
      <c r="B93" s="320"/>
      <c r="C93" s="127"/>
      <c r="D93" s="134"/>
      <c r="E93" s="135"/>
      <c r="F93" s="131"/>
      <c r="G93" s="130"/>
      <c r="H93" s="131"/>
      <c r="I93" s="260"/>
      <c r="L93" s="118">
        <f t="shared" si="1"/>
        <v>0</v>
      </c>
    </row>
    <row r="94" spans="1:12" x14ac:dyDescent="0.25">
      <c r="A94" s="120"/>
      <c r="B94" s="320"/>
      <c r="C94" s="127"/>
      <c r="D94" s="134"/>
      <c r="E94" s="135"/>
      <c r="F94" s="131"/>
      <c r="G94" s="130"/>
      <c r="H94" s="131"/>
      <c r="I94" s="260"/>
      <c r="L94" s="118">
        <f t="shared" si="1"/>
        <v>0</v>
      </c>
    </row>
    <row r="95" spans="1:12" x14ac:dyDescent="0.25">
      <c r="A95" s="120"/>
      <c r="B95" s="320"/>
      <c r="C95" s="127"/>
      <c r="E95" s="135"/>
      <c r="F95" s="131"/>
      <c r="G95" s="130"/>
      <c r="H95" s="131"/>
      <c r="I95" s="260"/>
      <c r="L95" s="118">
        <f t="shared" si="1"/>
        <v>0</v>
      </c>
    </row>
    <row r="96" spans="1:12" x14ac:dyDescent="0.25">
      <c r="A96" s="120"/>
      <c r="B96" s="320"/>
      <c r="C96" s="127"/>
      <c r="D96" s="134"/>
      <c r="E96" s="135"/>
      <c r="F96" s="131"/>
      <c r="G96" s="130"/>
      <c r="H96" s="131"/>
      <c r="I96" s="260"/>
      <c r="L96" s="118">
        <f t="shared" si="1"/>
        <v>0</v>
      </c>
    </row>
    <row r="97" spans="1:12" x14ac:dyDescent="0.25">
      <c r="A97" s="120"/>
      <c r="B97" s="320"/>
      <c r="C97" s="127"/>
      <c r="D97" s="134"/>
      <c r="E97" s="135"/>
      <c r="F97" s="131"/>
      <c r="G97" s="130"/>
      <c r="H97" s="131"/>
      <c r="I97" s="260"/>
      <c r="L97" s="118">
        <f t="shared" si="1"/>
        <v>0</v>
      </c>
    </row>
    <row r="98" spans="1:12" x14ac:dyDescent="0.25">
      <c r="A98" s="120"/>
      <c r="B98" s="320"/>
      <c r="C98" s="127"/>
      <c r="D98" s="134"/>
      <c r="E98" s="135"/>
      <c r="F98" s="131"/>
      <c r="G98" s="130"/>
      <c r="H98" s="131"/>
      <c r="I98" s="260"/>
      <c r="L98" s="118">
        <f t="shared" si="1"/>
        <v>0</v>
      </c>
    </row>
    <row r="99" spans="1:12" x14ac:dyDescent="0.25">
      <c r="A99" s="120"/>
      <c r="B99" s="320"/>
      <c r="C99" s="127"/>
      <c r="D99" s="134"/>
      <c r="E99" s="135"/>
      <c r="F99" s="131"/>
      <c r="G99" s="130"/>
      <c r="H99" s="131"/>
      <c r="I99" s="260"/>
      <c r="L99" s="118">
        <f t="shared" si="1"/>
        <v>0</v>
      </c>
    </row>
    <row r="100" spans="1:12" x14ac:dyDescent="0.25">
      <c r="A100" s="120"/>
      <c r="B100" s="320"/>
      <c r="C100" s="127"/>
      <c r="D100" s="134"/>
      <c r="E100" s="135"/>
      <c r="F100" s="131"/>
      <c r="G100" s="130"/>
      <c r="H100" s="131"/>
      <c r="I100" s="260"/>
      <c r="L100" s="118">
        <f t="shared" si="1"/>
        <v>0</v>
      </c>
    </row>
    <row r="101" spans="1:12" x14ac:dyDescent="0.25">
      <c r="A101" s="120"/>
      <c r="B101" s="320"/>
      <c r="C101" s="127"/>
      <c r="D101" s="134"/>
      <c r="E101" s="135"/>
      <c r="F101" s="131"/>
      <c r="G101" s="130"/>
      <c r="H101" s="131"/>
      <c r="I101" s="260"/>
      <c r="L101" s="118">
        <f t="shared" si="1"/>
        <v>0</v>
      </c>
    </row>
    <row r="102" spans="1:12" x14ac:dyDescent="0.25">
      <c r="A102" s="120"/>
      <c r="B102" s="320"/>
      <c r="C102" s="127"/>
      <c r="D102" s="134"/>
      <c r="E102" s="135"/>
      <c r="F102" s="131"/>
      <c r="G102" s="130"/>
      <c r="H102" s="131"/>
      <c r="I102" s="260"/>
      <c r="L102" s="118">
        <f t="shared" si="1"/>
        <v>0</v>
      </c>
    </row>
    <row r="103" spans="1:12" x14ac:dyDescent="0.25">
      <c r="A103" s="120"/>
      <c r="B103" s="320"/>
      <c r="C103" s="127"/>
      <c r="D103" s="134"/>
      <c r="E103" s="135"/>
      <c r="F103" s="131"/>
      <c r="G103" s="130"/>
      <c r="H103" s="131"/>
      <c r="I103" s="260"/>
      <c r="L103" s="118">
        <f t="shared" si="1"/>
        <v>0</v>
      </c>
    </row>
    <row r="104" spans="1:12" x14ac:dyDescent="0.25">
      <c r="A104" s="120"/>
      <c r="B104" s="320"/>
      <c r="C104" s="127"/>
      <c r="D104" s="134"/>
      <c r="E104" s="135"/>
      <c r="F104" s="131"/>
      <c r="G104" s="130"/>
      <c r="H104" s="131"/>
      <c r="I104" s="260"/>
      <c r="L104" s="118">
        <f t="shared" si="1"/>
        <v>0</v>
      </c>
    </row>
    <row r="105" spans="1:12" x14ac:dyDescent="0.25">
      <c r="A105" s="120"/>
      <c r="B105" s="320"/>
      <c r="C105" s="127"/>
      <c r="D105" s="134"/>
      <c r="E105" s="135"/>
      <c r="F105" s="131"/>
      <c r="G105" s="130"/>
      <c r="H105" s="131"/>
      <c r="I105" s="260"/>
      <c r="L105" s="118">
        <f t="shared" si="1"/>
        <v>0</v>
      </c>
    </row>
    <row r="106" spans="1:12" x14ac:dyDescent="0.25">
      <c r="A106" s="120"/>
      <c r="B106" s="320"/>
      <c r="C106" s="127"/>
      <c r="D106" s="134"/>
      <c r="E106" s="135"/>
      <c r="F106" s="131"/>
      <c r="G106" s="130"/>
      <c r="H106" s="131"/>
      <c r="I106" s="260"/>
      <c r="L106" s="118">
        <f t="shared" si="1"/>
        <v>0</v>
      </c>
    </row>
    <row r="107" spans="1:12" x14ac:dyDescent="0.25">
      <c r="A107" s="120"/>
      <c r="B107" s="320"/>
      <c r="C107" s="127"/>
      <c r="D107" s="134"/>
      <c r="E107" s="135"/>
      <c r="F107" s="131"/>
      <c r="G107" s="130"/>
      <c r="H107" s="131"/>
      <c r="I107" s="260"/>
      <c r="L107" s="118">
        <f t="shared" si="1"/>
        <v>0</v>
      </c>
    </row>
    <row r="108" spans="1:12" x14ac:dyDescent="0.25">
      <c r="A108" s="120"/>
      <c r="B108" s="320"/>
      <c r="C108" s="127"/>
      <c r="D108" s="134"/>
      <c r="E108" s="135"/>
      <c r="F108" s="131"/>
      <c r="G108" s="130"/>
      <c r="H108" s="131"/>
      <c r="I108" s="260"/>
      <c r="L108" s="118">
        <f t="shared" si="1"/>
        <v>0</v>
      </c>
    </row>
    <row r="109" spans="1:12" x14ac:dyDescent="0.25">
      <c r="A109" s="120"/>
      <c r="B109" s="320"/>
      <c r="C109" s="127"/>
      <c r="D109" s="134"/>
      <c r="E109" s="135"/>
      <c r="F109" s="131"/>
      <c r="G109" s="130"/>
      <c r="H109" s="131"/>
      <c r="I109" s="260"/>
      <c r="L109" s="118">
        <f t="shared" si="1"/>
        <v>0</v>
      </c>
    </row>
    <row r="110" spans="1:12" x14ac:dyDescent="0.25">
      <c r="A110" s="120"/>
      <c r="B110" s="320"/>
      <c r="C110" s="127"/>
      <c r="D110" s="134"/>
      <c r="E110" s="135"/>
      <c r="F110" s="131"/>
      <c r="G110" s="130"/>
      <c r="H110" s="131"/>
      <c r="I110" s="260"/>
      <c r="L110" s="118">
        <f t="shared" si="1"/>
        <v>0</v>
      </c>
    </row>
    <row r="111" spans="1:12" x14ac:dyDescent="0.25">
      <c r="A111" s="120"/>
      <c r="B111" s="320"/>
      <c r="C111" s="127"/>
      <c r="D111" s="134"/>
      <c r="E111" s="135"/>
      <c r="F111" s="131"/>
      <c r="G111" s="130"/>
      <c r="H111" s="131"/>
      <c r="I111" s="260"/>
      <c r="L111" s="118">
        <f t="shared" si="1"/>
        <v>0</v>
      </c>
    </row>
    <row r="112" spans="1:12" x14ac:dyDescent="0.25">
      <c r="A112" s="120"/>
      <c r="B112" s="320"/>
      <c r="C112" s="127"/>
      <c r="D112" s="134"/>
      <c r="E112" s="135"/>
      <c r="F112" s="131"/>
      <c r="G112" s="130"/>
      <c r="H112" s="131"/>
      <c r="I112" s="260"/>
      <c r="L112" s="118">
        <f t="shared" si="1"/>
        <v>0</v>
      </c>
    </row>
    <row r="113" spans="1:12" x14ac:dyDescent="0.25">
      <c r="A113" s="120"/>
      <c r="B113" s="320"/>
      <c r="C113" s="127"/>
      <c r="D113" s="134"/>
      <c r="E113" s="135"/>
      <c r="F113" s="131"/>
      <c r="G113" s="130"/>
      <c r="H113" s="131"/>
      <c r="I113" s="260"/>
      <c r="L113" s="118">
        <f t="shared" si="1"/>
        <v>0</v>
      </c>
    </row>
    <row r="114" spans="1:12" x14ac:dyDescent="0.25">
      <c r="A114" s="120"/>
      <c r="B114" s="320"/>
      <c r="C114" s="127"/>
      <c r="D114" s="134"/>
      <c r="E114" s="135"/>
      <c r="F114" s="131"/>
      <c r="G114" s="130"/>
      <c r="H114" s="131"/>
      <c r="I114" s="260"/>
      <c r="L114" s="118">
        <f t="shared" si="1"/>
        <v>0</v>
      </c>
    </row>
    <row r="115" spans="1:12" x14ac:dyDescent="0.25">
      <c r="A115" s="120"/>
      <c r="B115" s="320"/>
      <c r="C115" s="127"/>
      <c r="D115" s="134"/>
      <c r="E115" s="135"/>
      <c r="F115" s="131"/>
      <c r="G115" s="130"/>
      <c r="H115" s="131"/>
      <c r="I115" s="260"/>
      <c r="L115" s="118">
        <f t="shared" si="1"/>
        <v>0</v>
      </c>
    </row>
    <row r="116" spans="1:12" x14ac:dyDescent="0.25">
      <c r="A116" s="120"/>
      <c r="B116" s="320"/>
      <c r="C116" s="127"/>
      <c r="D116" s="134"/>
      <c r="E116" s="135"/>
      <c r="F116" s="131"/>
      <c r="G116" s="130"/>
      <c r="H116" s="131"/>
      <c r="I116" s="260"/>
      <c r="L116" s="118">
        <f t="shared" si="1"/>
        <v>0</v>
      </c>
    </row>
    <row r="117" spans="1:12" x14ac:dyDescent="0.25">
      <c r="A117" s="120"/>
      <c r="B117" s="320"/>
      <c r="C117" s="127"/>
      <c r="D117" s="134"/>
      <c r="E117" s="135"/>
      <c r="F117" s="131"/>
      <c r="G117" s="130"/>
      <c r="H117" s="131"/>
      <c r="I117" s="260"/>
      <c r="L117" s="118">
        <f t="shared" si="1"/>
        <v>0</v>
      </c>
    </row>
    <row r="118" spans="1:12" x14ac:dyDescent="0.25">
      <c r="A118" s="120"/>
      <c r="B118" s="320"/>
      <c r="C118" s="127"/>
      <c r="D118" s="134"/>
      <c r="E118" s="135"/>
      <c r="F118" s="131"/>
      <c r="G118" s="130"/>
      <c r="H118" s="131"/>
      <c r="I118" s="260"/>
      <c r="L118" s="118">
        <f t="shared" si="1"/>
        <v>0</v>
      </c>
    </row>
    <row r="119" spans="1:12" x14ac:dyDescent="0.25">
      <c r="A119" s="120"/>
      <c r="B119" s="320"/>
      <c r="C119" s="127"/>
      <c r="D119" s="134"/>
      <c r="E119" s="135"/>
      <c r="F119" s="131"/>
      <c r="G119" s="130"/>
      <c r="H119" s="131"/>
      <c r="I119" s="260"/>
      <c r="L119" s="118">
        <f t="shared" si="1"/>
        <v>0</v>
      </c>
    </row>
    <row r="120" spans="1:12" x14ac:dyDescent="0.25">
      <c r="A120" s="120"/>
      <c r="B120" s="320"/>
      <c r="C120" s="127"/>
      <c r="D120" s="134"/>
      <c r="E120" s="135"/>
      <c r="F120" s="131"/>
      <c r="G120" s="130"/>
      <c r="H120" s="131"/>
      <c r="I120" s="260"/>
      <c r="L120" s="118">
        <f t="shared" si="1"/>
        <v>0</v>
      </c>
    </row>
    <row r="121" spans="1:12" x14ac:dyDescent="0.25">
      <c r="A121" s="120"/>
      <c r="B121" s="320"/>
      <c r="C121" s="127"/>
      <c r="D121" s="134"/>
      <c r="E121" s="135"/>
      <c r="F121" s="131"/>
      <c r="G121" s="130"/>
      <c r="H121" s="131"/>
      <c r="I121" s="260"/>
      <c r="L121" s="118">
        <f t="shared" si="1"/>
        <v>0</v>
      </c>
    </row>
    <row r="122" spans="1:12" x14ac:dyDescent="0.25">
      <c r="A122" s="120"/>
      <c r="B122" s="320"/>
      <c r="C122" s="127"/>
      <c r="D122" s="134"/>
      <c r="E122" s="135"/>
      <c r="F122" s="131"/>
      <c r="G122" s="130"/>
      <c r="H122" s="131"/>
      <c r="I122" s="260"/>
      <c r="L122" s="118">
        <f t="shared" si="1"/>
        <v>0</v>
      </c>
    </row>
    <row r="123" spans="1:12" x14ac:dyDescent="0.25">
      <c r="A123" s="120"/>
      <c r="B123" s="320"/>
      <c r="C123" s="127"/>
      <c r="D123" s="134"/>
      <c r="E123" s="135"/>
      <c r="F123" s="131"/>
      <c r="G123" s="130"/>
      <c r="H123" s="131"/>
      <c r="I123" s="260"/>
      <c r="L123" s="118">
        <f t="shared" si="1"/>
        <v>0</v>
      </c>
    </row>
    <row r="124" spans="1:12" x14ac:dyDescent="0.25">
      <c r="A124" s="120"/>
      <c r="B124" s="320"/>
      <c r="C124" s="127"/>
      <c r="D124" s="134"/>
      <c r="E124" s="135"/>
      <c r="F124" s="131"/>
      <c r="G124" s="130"/>
      <c r="H124" s="131"/>
      <c r="I124" s="260"/>
      <c r="L124" s="118">
        <f t="shared" si="1"/>
        <v>0</v>
      </c>
    </row>
    <row r="125" spans="1:12" x14ac:dyDescent="0.25">
      <c r="A125" s="120"/>
      <c r="B125" s="320"/>
      <c r="C125" s="127"/>
      <c r="D125" s="134"/>
      <c r="E125" s="135"/>
      <c r="F125" s="131"/>
      <c r="G125" s="130"/>
      <c r="H125" s="131"/>
      <c r="I125" s="260"/>
      <c r="L125" s="118">
        <f t="shared" si="1"/>
        <v>0</v>
      </c>
    </row>
    <row r="126" spans="1:12" x14ac:dyDescent="0.25">
      <c r="A126" s="120"/>
      <c r="B126" s="320"/>
      <c r="C126" s="127"/>
      <c r="D126" s="134"/>
      <c r="E126" s="135"/>
      <c r="F126" s="131"/>
      <c r="G126" s="130"/>
      <c r="H126" s="131"/>
      <c r="I126" s="260"/>
      <c r="L126" s="118">
        <f t="shared" si="1"/>
        <v>0</v>
      </c>
    </row>
    <row r="127" spans="1:12" x14ac:dyDescent="0.25">
      <c r="A127" s="120"/>
      <c r="B127" s="320"/>
      <c r="C127" s="127"/>
      <c r="D127" s="134"/>
      <c r="E127" s="135"/>
      <c r="F127" s="131"/>
      <c r="G127" s="130"/>
      <c r="H127" s="131"/>
      <c r="I127" s="260"/>
      <c r="L127" s="118">
        <f t="shared" si="1"/>
        <v>0</v>
      </c>
    </row>
    <row r="128" spans="1:12" x14ac:dyDescent="0.25">
      <c r="A128" s="120"/>
      <c r="B128" s="320"/>
      <c r="C128" s="127"/>
      <c r="D128" s="134"/>
      <c r="E128" s="135"/>
      <c r="F128" s="131"/>
      <c r="G128" s="130"/>
      <c r="H128" s="131"/>
      <c r="I128" s="260"/>
      <c r="L128" s="118">
        <f t="shared" si="1"/>
        <v>0</v>
      </c>
    </row>
    <row r="129" spans="1:12" x14ac:dyDescent="0.25">
      <c r="A129" s="120"/>
      <c r="B129" s="320"/>
      <c r="C129" s="127"/>
      <c r="D129" s="134"/>
      <c r="E129" s="135"/>
      <c r="F129" s="131"/>
      <c r="G129" s="130"/>
      <c r="H129" s="131"/>
      <c r="I129" s="260"/>
      <c r="L129" s="118">
        <f t="shared" si="1"/>
        <v>0</v>
      </c>
    </row>
    <row r="130" spans="1:12" x14ac:dyDescent="0.25">
      <c r="A130" s="120"/>
      <c r="B130" s="320"/>
      <c r="C130" s="127"/>
      <c r="D130" s="134"/>
      <c r="E130" s="135"/>
      <c r="F130" s="131"/>
      <c r="G130" s="130"/>
      <c r="H130" s="131"/>
      <c r="I130" s="260"/>
      <c r="L130" s="118">
        <f t="shared" si="1"/>
        <v>0</v>
      </c>
    </row>
    <row r="131" spans="1:12" x14ac:dyDescent="0.25">
      <c r="A131" s="120"/>
      <c r="B131" s="320"/>
      <c r="C131" s="127"/>
      <c r="D131" s="134"/>
      <c r="E131" s="135"/>
      <c r="F131" s="131"/>
      <c r="G131" s="130"/>
      <c r="H131" s="131"/>
      <c r="I131" s="260"/>
      <c r="L131" s="118">
        <f t="shared" si="1"/>
        <v>0</v>
      </c>
    </row>
    <row r="132" spans="1:12" x14ac:dyDescent="0.25">
      <c r="A132" s="120"/>
      <c r="B132" s="320"/>
      <c r="C132" s="127"/>
      <c r="D132" s="134"/>
      <c r="E132" s="135"/>
      <c r="F132" s="131"/>
      <c r="G132" s="130"/>
      <c r="H132" s="131"/>
      <c r="I132" s="260"/>
      <c r="L132" s="118">
        <f t="shared" si="1"/>
        <v>0</v>
      </c>
    </row>
    <row r="133" spans="1:12" x14ac:dyDescent="0.25">
      <c r="A133" s="120"/>
      <c r="B133" s="320"/>
      <c r="C133" s="127"/>
      <c r="D133" s="134"/>
      <c r="E133" s="135"/>
      <c r="F133" s="131"/>
      <c r="G133" s="130"/>
      <c r="H133" s="131"/>
      <c r="I133" s="260"/>
      <c r="L133" s="118">
        <f t="shared" si="1"/>
        <v>0</v>
      </c>
    </row>
    <row r="134" spans="1:12" x14ac:dyDescent="0.25">
      <c r="A134" s="120"/>
      <c r="B134" s="320"/>
      <c r="C134" s="127"/>
      <c r="D134" s="134"/>
      <c r="E134" s="135"/>
      <c r="F134" s="131"/>
      <c r="G134" s="130"/>
      <c r="H134" s="131"/>
      <c r="I134" s="260"/>
      <c r="L134" s="118">
        <f t="shared" si="1"/>
        <v>0</v>
      </c>
    </row>
    <row r="135" spans="1:12" x14ac:dyDescent="0.25">
      <c r="A135" s="120"/>
      <c r="B135" s="320"/>
      <c r="C135" s="127"/>
      <c r="D135" s="134"/>
      <c r="E135" s="135"/>
      <c r="F135" s="131"/>
      <c r="G135" s="130"/>
      <c r="H135" s="131"/>
      <c r="I135" s="260"/>
      <c r="L135" s="118">
        <f t="shared" si="1"/>
        <v>0</v>
      </c>
    </row>
    <row r="136" spans="1:12" x14ac:dyDescent="0.25">
      <c r="A136" s="120"/>
      <c r="B136" s="320"/>
      <c r="C136" s="127"/>
      <c r="D136" s="134"/>
      <c r="E136" s="135"/>
      <c r="F136" s="131"/>
      <c r="G136" s="130"/>
      <c r="H136" s="131"/>
      <c r="I136" s="260"/>
      <c r="L136" s="118">
        <f t="shared" ref="L136:L146" si="2">SUM(G136:H136)-I136</f>
        <v>0</v>
      </c>
    </row>
    <row r="137" spans="1:12" x14ac:dyDescent="0.25">
      <c r="A137" s="120"/>
      <c r="B137" s="320"/>
      <c r="C137" s="127"/>
      <c r="D137" s="134"/>
      <c r="E137" s="135"/>
      <c r="F137" s="131"/>
      <c r="G137" s="130"/>
      <c r="H137" s="131"/>
      <c r="I137" s="260"/>
      <c r="L137" s="118">
        <f t="shared" si="2"/>
        <v>0</v>
      </c>
    </row>
    <row r="138" spans="1:12" x14ac:dyDescent="0.25">
      <c r="A138" s="120"/>
      <c r="B138" s="320"/>
      <c r="C138" s="127"/>
      <c r="D138" s="134"/>
      <c r="E138" s="135"/>
      <c r="F138" s="131"/>
      <c r="G138" s="130"/>
      <c r="H138" s="131"/>
      <c r="I138" s="260"/>
      <c r="L138" s="118">
        <f t="shared" si="2"/>
        <v>0</v>
      </c>
    </row>
    <row r="139" spans="1:12" x14ac:dyDescent="0.25">
      <c r="A139" s="120"/>
      <c r="B139" s="320"/>
      <c r="C139" s="127"/>
      <c r="D139" s="134"/>
      <c r="E139" s="135"/>
      <c r="F139" s="131"/>
      <c r="G139" s="130"/>
      <c r="H139" s="131"/>
      <c r="I139" s="260"/>
      <c r="L139" s="118">
        <f t="shared" si="2"/>
        <v>0</v>
      </c>
    </row>
    <row r="140" spans="1:12" x14ac:dyDescent="0.25">
      <c r="A140" s="120"/>
      <c r="B140" s="320"/>
      <c r="C140" s="127"/>
      <c r="D140" s="134"/>
      <c r="E140" s="135"/>
      <c r="F140" s="131"/>
      <c r="G140" s="130"/>
      <c r="H140" s="131"/>
      <c r="I140" s="260">
        <f t="shared" ref="I140:I146" si="3">SUM(G140:H140)</f>
        <v>0</v>
      </c>
      <c r="L140" s="118">
        <f t="shared" si="2"/>
        <v>0</v>
      </c>
    </row>
    <row r="141" spans="1:12" x14ac:dyDescent="0.25">
      <c r="A141" s="120"/>
      <c r="B141" s="320"/>
      <c r="C141" s="127"/>
      <c r="D141" s="134"/>
      <c r="E141" s="135"/>
      <c r="F141" s="131"/>
      <c r="G141" s="130"/>
      <c r="H141" s="131"/>
      <c r="I141" s="260">
        <f t="shared" si="3"/>
        <v>0</v>
      </c>
      <c r="L141" s="118">
        <f t="shared" si="2"/>
        <v>0</v>
      </c>
    </row>
    <row r="142" spans="1:12" x14ac:dyDescent="0.25">
      <c r="A142" s="120"/>
      <c r="B142" s="320"/>
      <c r="C142" s="127"/>
      <c r="D142" s="134"/>
      <c r="E142" s="135"/>
      <c r="F142" s="131">
        <v>0</v>
      </c>
      <c r="G142" s="130"/>
      <c r="H142" s="131"/>
      <c r="I142" s="260">
        <f t="shared" si="3"/>
        <v>0</v>
      </c>
      <c r="L142" s="118">
        <f t="shared" si="2"/>
        <v>0</v>
      </c>
    </row>
    <row r="143" spans="1:12" x14ac:dyDescent="0.25">
      <c r="A143" s="120"/>
      <c r="B143" s="320"/>
      <c r="C143" s="127"/>
      <c r="D143" s="134"/>
      <c r="E143" s="135"/>
      <c r="F143" s="131"/>
      <c r="G143" s="130"/>
      <c r="H143" s="156"/>
      <c r="I143" s="260">
        <f t="shared" si="3"/>
        <v>0</v>
      </c>
      <c r="L143" s="118">
        <f t="shared" si="2"/>
        <v>0</v>
      </c>
    </row>
    <row r="144" spans="1:12" x14ac:dyDescent="0.25">
      <c r="A144" s="120"/>
      <c r="B144" s="321"/>
      <c r="C144" s="157"/>
      <c r="D144" s="158" t="s">
        <v>49</v>
      </c>
      <c r="E144" s="159"/>
      <c r="F144" s="246">
        <f>SUM(F6:F143)</f>
        <v>27438.86</v>
      </c>
      <c r="G144" s="254">
        <f>SUM(G7:G143)</f>
        <v>6360.85</v>
      </c>
      <c r="H144" s="254">
        <f>SUM(H7:H143)</f>
        <v>30.74</v>
      </c>
      <c r="I144" s="260">
        <f t="shared" si="3"/>
        <v>6391.59</v>
      </c>
      <c r="L144" s="118">
        <f t="shared" si="2"/>
        <v>0</v>
      </c>
    </row>
    <row r="145" spans="1:20" x14ac:dyDescent="0.25">
      <c r="A145" s="120"/>
      <c r="B145" s="240"/>
      <c r="C145" s="160"/>
      <c r="D145" s="161"/>
      <c r="E145" s="162" t="s">
        <v>40</v>
      </c>
      <c r="F145" s="247"/>
      <c r="G145" s="255"/>
      <c r="H145" s="163"/>
      <c r="I145" s="260">
        <f t="shared" si="3"/>
        <v>0</v>
      </c>
      <c r="L145" s="118">
        <f t="shared" si="2"/>
        <v>0</v>
      </c>
    </row>
    <row r="146" spans="1:20" x14ac:dyDescent="0.25">
      <c r="A146" s="120"/>
      <c r="B146" s="242" t="s">
        <v>41</v>
      </c>
      <c r="C146" s="164"/>
      <c r="D146" s="164" t="s">
        <v>42</v>
      </c>
      <c r="E146" s="165" t="s">
        <v>43</v>
      </c>
      <c r="F146" s="248" t="s">
        <v>204</v>
      </c>
      <c r="G146" s="256" t="s">
        <v>4</v>
      </c>
      <c r="H146" s="166" t="s">
        <v>47</v>
      </c>
      <c r="I146" s="260">
        <f t="shared" si="3"/>
        <v>0</v>
      </c>
      <c r="L146" s="118">
        <f t="shared" si="2"/>
        <v>0</v>
      </c>
    </row>
    <row r="147" spans="1:20" x14ac:dyDescent="0.25">
      <c r="B147" s="241"/>
      <c r="C147" s="167"/>
      <c r="D147" s="168"/>
      <c r="E147" s="169"/>
      <c r="F147" s="170"/>
      <c r="G147" s="170"/>
      <c r="H147" s="171"/>
      <c r="I147" s="171"/>
    </row>
    <row r="148" spans="1:20" x14ac:dyDescent="0.25">
      <c r="B148" s="241"/>
      <c r="C148" s="167"/>
      <c r="D148" s="172" t="s">
        <v>207</v>
      </c>
      <c r="E148" s="173"/>
      <c r="F148" s="322"/>
      <c r="G148" s="257"/>
      <c r="H148" s="156" t="s">
        <v>50</v>
      </c>
      <c r="I148" s="156"/>
      <c r="S148" s="266"/>
      <c r="T148" s="267"/>
    </row>
    <row r="149" spans="1:20" x14ac:dyDescent="0.25">
      <c r="B149" s="241"/>
      <c r="C149" s="167"/>
      <c r="D149" s="174" t="s">
        <v>204</v>
      </c>
      <c r="E149" s="175"/>
      <c r="F149" s="249">
        <f>SUM(F144)</f>
        <v>27438.86</v>
      </c>
      <c r="G149" s="257"/>
      <c r="H149" s="156" t="s">
        <v>52</v>
      </c>
      <c r="I149" s="156"/>
      <c r="S149" s="268"/>
      <c r="T149" s="267"/>
    </row>
    <row r="150" spans="1:20" x14ac:dyDescent="0.25">
      <c r="B150" s="241"/>
      <c r="C150" s="167"/>
      <c r="D150" s="174" t="s">
        <v>54</v>
      </c>
      <c r="E150" s="175"/>
      <c r="F150" s="249">
        <f>SUM(I144)</f>
        <v>6391.59</v>
      </c>
      <c r="G150" s="257"/>
      <c r="H150" s="176" t="s">
        <v>53</v>
      </c>
      <c r="I150" s="176"/>
      <c r="J150" s="116"/>
      <c r="S150" s="268"/>
      <c r="T150" s="267"/>
    </row>
    <row r="151" spans="1:20" x14ac:dyDescent="0.25">
      <c r="B151" s="241"/>
      <c r="C151" s="167"/>
      <c r="D151" s="174"/>
      <c r="E151" s="175"/>
      <c r="F151" s="250"/>
      <c r="G151" s="257"/>
      <c r="S151" s="268"/>
      <c r="T151" s="267"/>
    </row>
    <row r="152" spans="1:20" x14ac:dyDescent="0.25">
      <c r="B152" s="241"/>
      <c r="C152" s="167"/>
      <c r="D152" s="181" t="s">
        <v>51</v>
      </c>
      <c r="E152" s="182"/>
      <c r="F152" s="251">
        <f>SUM(F148:F149)-F150</f>
        <v>21047.27</v>
      </c>
      <c r="G152" s="257"/>
      <c r="H152" s="171" t="s">
        <v>97</v>
      </c>
      <c r="I152" s="171"/>
      <c r="J152" s="171"/>
      <c r="S152" s="268"/>
      <c r="T152" s="267"/>
    </row>
    <row r="153" spans="1:20" x14ac:dyDescent="0.25">
      <c r="B153" s="241"/>
      <c r="C153" s="179"/>
      <c r="D153" s="113" t="s">
        <v>216</v>
      </c>
      <c r="F153" s="265" t="s">
        <v>202</v>
      </c>
      <c r="G153" s="257"/>
      <c r="S153" s="268"/>
      <c r="T153" s="267"/>
    </row>
    <row r="154" spans="1:20" x14ac:dyDescent="0.25">
      <c r="B154" s="241"/>
      <c r="C154" s="180"/>
      <c r="D154" s="113" t="s">
        <v>208</v>
      </c>
      <c r="F154" s="265" t="s">
        <v>202</v>
      </c>
      <c r="G154" s="257"/>
      <c r="H154" s="156" t="s">
        <v>96</v>
      </c>
      <c r="I154" s="156"/>
      <c r="J154" s="171"/>
      <c r="S154" s="267"/>
      <c r="T154" s="267"/>
    </row>
    <row r="155" spans="1:20" x14ac:dyDescent="0.25">
      <c r="B155" s="241"/>
      <c r="C155" s="180"/>
      <c r="D155" s="113" t="s">
        <v>217</v>
      </c>
      <c r="F155" s="118">
        <f>SUM(F152:F154)</f>
        <v>21047.27</v>
      </c>
      <c r="H155" s="184" t="s">
        <v>56</v>
      </c>
      <c r="I155" s="184"/>
      <c r="J155" s="184"/>
      <c r="L155" s="235">
        <v>20595.900000000001</v>
      </c>
      <c r="N155" s="232" t="s">
        <v>195</v>
      </c>
      <c r="O155" s="233"/>
    </row>
    <row r="156" spans="1:20" x14ac:dyDescent="0.25">
      <c r="B156" s="241"/>
      <c r="C156" s="180"/>
      <c r="E156" s="156"/>
      <c r="L156" s="235">
        <v>451.37</v>
      </c>
      <c r="O156" s="156"/>
      <c r="P156" s="156">
        <v>616.42999999999995</v>
      </c>
    </row>
    <row r="157" spans="1:20" x14ac:dyDescent="0.25">
      <c r="B157" s="241"/>
      <c r="C157" s="180"/>
      <c r="E157" s="156"/>
      <c r="H157" s="113" t="s">
        <v>173</v>
      </c>
      <c r="O157" s="156"/>
      <c r="P157" s="156">
        <v>2112.02</v>
      </c>
    </row>
    <row r="158" spans="1:20" x14ac:dyDescent="0.25">
      <c r="B158" s="241"/>
      <c r="C158" s="180"/>
      <c r="E158" s="118"/>
      <c r="H158" s="156"/>
      <c r="I158" s="156"/>
      <c r="O158" s="176"/>
      <c r="P158" s="177"/>
    </row>
    <row r="159" spans="1:20" x14ac:dyDescent="0.25">
      <c r="B159" s="241"/>
      <c r="C159" s="180"/>
      <c r="P159" s="178">
        <f>SUM(P156:P158)</f>
        <v>2728.45</v>
      </c>
    </row>
    <row r="160" spans="1:20" x14ac:dyDescent="0.25">
      <c r="B160" s="241"/>
      <c r="C160" s="180"/>
      <c r="J160" s="336" t="s">
        <v>95</v>
      </c>
      <c r="K160" s="336"/>
      <c r="O160" s="117"/>
      <c r="P160" s="156">
        <v>0</v>
      </c>
    </row>
    <row r="161" spans="2:16" x14ac:dyDescent="0.25">
      <c r="B161" s="241"/>
      <c r="C161" s="180"/>
      <c r="P161" s="183">
        <f>SUM(P159-P160)</f>
        <v>2728.45</v>
      </c>
    </row>
    <row r="162" spans="2:16" x14ac:dyDescent="0.25">
      <c r="H162" s="119"/>
      <c r="I162" s="119"/>
      <c r="L162" s="190">
        <f>SUM(L155:L161)</f>
        <v>21047.27</v>
      </c>
      <c r="P162" s="185"/>
    </row>
    <row r="163" spans="2:16" ht="15.75" thickBot="1" x14ac:dyDescent="0.3">
      <c r="P163" s="186">
        <f>SUM(P161+P162)</f>
        <v>2728.45</v>
      </c>
    </row>
    <row r="164" spans="2:16" x14ac:dyDescent="0.25">
      <c r="L164" s="189">
        <f>H144</f>
        <v>30.74</v>
      </c>
    </row>
    <row r="165" spans="2:16" x14ac:dyDescent="0.25">
      <c r="L165" s="234">
        <f>SUM(L162:L164)</f>
        <v>21078.010000000002</v>
      </c>
      <c r="P165" s="118">
        <f>SUM(P163)-F152</f>
        <v>-18318.82</v>
      </c>
    </row>
  </sheetData>
  <autoFilter ref="B5:K146" xr:uid="{00000000-0009-0000-0000-000002000000}"/>
  <mergeCells count="4">
    <mergeCell ref="B4:E4"/>
    <mergeCell ref="B2:H2"/>
    <mergeCell ref="J160:K160"/>
    <mergeCell ref="G4:I4"/>
  </mergeCells>
  <phoneticPr fontId="6" type="noConversion"/>
  <conditionalFormatting sqref="P165">
    <cfRule type="cellIs" dxfId="67" priority="74" stopIfTrue="1" operator="notEqual">
      <formula>0</formula>
    </cfRule>
  </conditionalFormatting>
  <conditionalFormatting sqref="J6:K6 J107:K107 J110:K119 J121:K143 J51:K103 J8:K48">
    <cfRule type="expression" dxfId="66" priority="67">
      <formula>$J6="Memberships"</formula>
    </cfRule>
    <cfRule type="expression" dxfId="65" priority="68">
      <formula>$J6="Audit and legal"</formula>
    </cfRule>
    <cfRule type="expression" dxfId="64" priority="70">
      <formula>$J6="Running costs"</formula>
    </cfRule>
    <cfRule type="expression" dxfId="63" priority="71">
      <formula>$J6="Maintenance"</formula>
    </cfRule>
    <cfRule type="expression" dxfId="62" priority="72">
      <formula>$J6="Projects"</formula>
    </cfRule>
    <cfRule type="expression" dxfId="61" priority="73">
      <formula>$J6="Community fund"</formula>
    </cfRule>
  </conditionalFormatting>
  <conditionalFormatting sqref="J7:K7">
    <cfRule type="expression" dxfId="60" priority="55">
      <formula>$J7="Memberships"</formula>
    </cfRule>
    <cfRule type="expression" dxfId="59" priority="56">
      <formula>$J7="Audit and legal"</formula>
    </cfRule>
    <cfRule type="expression" dxfId="58" priority="57">
      <formula>$J7="Running costs"</formula>
    </cfRule>
    <cfRule type="expression" dxfId="57" priority="58">
      <formula>$J7="Maintenance"</formula>
    </cfRule>
    <cfRule type="expression" dxfId="56" priority="59">
      <formula>$J7="Projects"</formula>
    </cfRule>
    <cfRule type="expression" dxfId="55" priority="60">
      <formula>$J7="Community fund"</formula>
    </cfRule>
  </conditionalFormatting>
  <conditionalFormatting sqref="J49:K50">
    <cfRule type="expression" dxfId="54" priority="49">
      <formula>$J49="Memberships"</formula>
    </cfRule>
    <cfRule type="expression" dxfId="53" priority="50">
      <formula>$J49="Audit and legal"</formula>
    </cfRule>
    <cfRule type="expression" dxfId="52" priority="51">
      <formula>$J49="Running costs"</formula>
    </cfRule>
    <cfRule type="expression" dxfId="51" priority="52">
      <formula>$J49="Maintenance"</formula>
    </cfRule>
    <cfRule type="expression" dxfId="50" priority="53">
      <formula>$J49="Projects"</formula>
    </cfRule>
    <cfRule type="expression" dxfId="49" priority="54">
      <formula>$J49="Community fund"</formula>
    </cfRule>
  </conditionalFormatting>
  <conditionalFormatting sqref="J104">
    <cfRule type="expression" dxfId="48" priority="43">
      <formula>$J104="Memberships"</formula>
    </cfRule>
    <cfRule type="expression" dxfId="47" priority="44">
      <formula>$J104="Audit and legal"</formula>
    </cfRule>
    <cfRule type="expression" dxfId="46" priority="45">
      <formula>$J104="Running costs"</formula>
    </cfRule>
    <cfRule type="expression" dxfId="45" priority="46">
      <formula>$J104="Maintenance"</formula>
    </cfRule>
    <cfRule type="expression" dxfId="44" priority="47">
      <formula>$J104="Projects"</formula>
    </cfRule>
    <cfRule type="expression" dxfId="43" priority="48">
      <formula>$J104="Community fund"</formula>
    </cfRule>
  </conditionalFormatting>
  <conditionalFormatting sqref="K104">
    <cfRule type="expression" dxfId="42" priority="37">
      <formula>$J104="Memberships"</formula>
    </cfRule>
    <cfRule type="expression" dxfId="41" priority="38">
      <formula>$J104="Audit and legal"</formula>
    </cfRule>
    <cfRule type="expression" dxfId="40" priority="39">
      <formula>$J104="Running costs"</formula>
    </cfRule>
    <cfRule type="expression" dxfId="39" priority="40">
      <formula>$J104="Maintenance"</formula>
    </cfRule>
    <cfRule type="expression" dxfId="38" priority="41">
      <formula>$J104="Projects"</formula>
    </cfRule>
    <cfRule type="expression" dxfId="37" priority="42">
      <formula>$J104="Community fund"</formula>
    </cfRule>
  </conditionalFormatting>
  <conditionalFormatting sqref="J105:J106">
    <cfRule type="expression" dxfId="36" priority="31">
      <formula>$J105="Memberships"</formula>
    </cfRule>
    <cfRule type="expression" dxfId="35" priority="32">
      <formula>$J105="Audit and legal"</formula>
    </cfRule>
    <cfRule type="expression" dxfId="34" priority="33">
      <formula>$J105="Running costs"</formula>
    </cfRule>
    <cfRule type="expression" dxfId="33" priority="34">
      <formula>$J105="Maintenance"</formula>
    </cfRule>
    <cfRule type="expression" dxfId="32" priority="35">
      <formula>$J105="Projects"</formula>
    </cfRule>
    <cfRule type="expression" dxfId="31" priority="36">
      <formula>$J105="Community fund"</formula>
    </cfRule>
  </conditionalFormatting>
  <conditionalFormatting sqref="K105:K106">
    <cfRule type="expression" dxfId="30" priority="25">
      <formula>$J105="Memberships"</formula>
    </cfRule>
    <cfRule type="expression" dxfId="29" priority="26">
      <formula>$J105="Audit and legal"</formula>
    </cfRule>
    <cfRule type="expression" dxfId="28" priority="27">
      <formula>$J105="Running costs"</formula>
    </cfRule>
    <cfRule type="expression" dxfId="27" priority="28">
      <formula>$J105="Maintenance"</formula>
    </cfRule>
    <cfRule type="expression" dxfId="26" priority="29">
      <formula>$J105="Projects"</formula>
    </cfRule>
    <cfRule type="expression" dxfId="25" priority="30">
      <formula>$J105="Community fund"</formula>
    </cfRule>
  </conditionalFormatting>
  <conditionalFormatting sqref="J108:J109">
    <cfRule type="expression" dxfId="24" priority="19">
      <formula>$J108="Memberships"</formula>
    </cfRule>
    <cfRule type="expression" dxfId="23" priority="20">
      <formula>$J108="Audit and legal"</formula>
    </cfRule>
    <cfRule type="expression" dxfId="22" priority="21">
      <formula>$J108="Running costs"</formula>
    </cfRule>
    <cfRule type="expression" dxfId="21" priority="22">
      <formula>$J108="Maintenance"</formula>
    </cfRule>
    <cfRule type="expression" dxfId="20" priority="23">
      <formula>$J108="Projects"</formula>
    </cfRule>
    <cfRule type="expression" dxfId="19" priority="24">
      <formula>$J108="Community fund"</formula>
    </cfRule>
  </conditionalFormatting>
  <conditionalFormatting sqref="K108:K109">
    <cfRule type="expression" dxfId="18" priority="13">
      <formula>$J108="Memberships"</formula>
    </cfRule>
    <cfRule type="expression" dxfId="17" priority="14">
      <formula>$J108="Audit and legal"</formula>
    </cfRule>
    <cfRule type="expression" dxfId="16" priority="15">
      <formula>$J108="Running costs"</formula>
    </cfRule>
    <cfRule type="expression" dxfId="15" priority="16">
      <formula>$J108="Maintenance"</formula>
    </cfRule>
    <cfRule type="expression" dxfId="14" priority="17">
      <formula>$J108="Projects"</formula>
    </cfRule>
    <cfRule type="expression" dxfId="13" priority="18">
      <formula>$J108="Community fund"</formula>
    </cfRule>
  </conditionalFormatting>
  <conditionalFormatting sqref="J120">
    <cfRule type="expression" dxfId="12" priority="7">
      <formula>$J120="Memberships"</formula>
    </cfRule>
    <cfRule type="expression" dxfId="11" priority="8">
      <formula>$J120="Audit and legal"</formula>
    </cfRule>
    <cfRule type="expression" dxfId="10" priority="9">
      <formula>$J120="Running costs"</formula>
    </cfRule>
    <cfRule type="expression" dxfId="9" priority="10">
      <formula>$J120="Maintenance"</formula>
    </cfRule>
    <cfRule type="expression" dxfId="8" priority="11">
      <formula>$J120="Projects"</formula>
    </cfRule>
    <cfRule type="expression" dxfId="7" priority="12">
      <formula>$J120="Community fund"</formula>
    </cfRule>
  </conditionalFormatting>
  <conditionalFormatting sqref="K120">
    <cfRule type="expression" dxfId="6" priority="1">
      <formula>$J120="Memberships"</formula>
    </cfRule>
    <cfRule type="expression" dxfId="5" priority="2">
      <formula>$J120="Audit and legal"</formula>
    </cfRule>
    <cfRule type="expression" dxfId="4" priority="3">
      <formula>$J120="Running costs"</formula>
    </cfRule>
    <cfRule type="expression" dxfId="3" priority="4">
      <formula>$J120="Maintenance"</formula>
    </cfRule>
    <cfRule type="expression" dxfId="2" priority="5">
      <formula>$J120="Projects"</formula>
    </cfRule>
    <cfRule type="expression" dxfId="1" priority="6">
      <formula>$J120="Community fund"</formula>
    </cfRule>
  </conditionalFormatting>
  <dataValidations count="2">
    <dataValidation type="list" allowBlank="1" showInputMessage="1" showErrorMessage="1" sqref="J6:J48 J50:J143" xr:uid="{00000000-0002-0000-0200-000000000000}">
      <formula1>Budget_Lines</formula1>
    </dataValidation>
    <dataValidation type="list" allowBlank="1" showInputMessage="1" showErrorMessage="1" sqref="K6:K143" xr:uid="{00000000-0002-0000-0200-000001000000}">
      <formula1>Sub_categories</formula1>
    </dataValidation>
  </dataValidations>
  <printOptions headings="1"/>
  <pageMargins left="0.04" right="0.04" top="0.16" bottom="0.16" header="0.12000000000000001" footer="0.12000000000000001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4"/>
  <sheetViews>
    <sheetView tabSelected="1" zoomScale="130" zoomScaleNormal="130" workbookViewId="0">
      <selection activeCell="G1" sqref="G1"/>
    </sheetView>
  </sheetViews>
  <sheetFormatPr defaultColWidth="8.85546875" defaultRowHeight="12.75" x14ac:dyDescent="0.2"/>
  <cols>
    <col min="1" max="1" width="22.42578125" customWidth="1"/>
    <col min="2" max="2" width="10" customWidth="1"/>
    <col min="3" max="3" width="11.42578125" customWidth="1"/>
    <col min="4" max="4" width="10" customWidth="1"/>
    <col min="5" max="5" width="0.7109375" customWidth="1"/>
    <col min="6" max="7" width="12.7109375" customWidth="1"/>
    <col min="8" max="8" width="10.42578125" customWidth="1"/>
    <col min="9" max="9" width="10.140625" customWidth="1"/>
    <col min="10" max="10" width="1.42578125" customWidth="1"/>
    <col min="11" max="11" width="10.42578125" customWidth="1"/>
    <col min="12" max="12" width="10.140625" customWidth="1"/>
    <col min="13" max="13" width="12.7109375" customWidth="1"/>
    <col min="14" max="14" width="12.42578125" customWidth="1"/>
    <col min="15" max="15" width="10.42578125" customWidth="1"/>
    <col min="16" max="16" width="10.140625" customWidth="1"/>
    <col min="17" max="17" width="9.42578125" bestFit="1" customWidth="1"/>
  </cols>
  <sheetData>
    <row r="1" spans="1:19" ht="18" x14ac:dyDescent="0.25">
      <c r="A1" s="6" t="s">
        <v>37</v>
      </c>
      <c r="F1" s="11"/>
      <c r="G1" s="323" t="s">
        <v>286</v>
      </c>
      <c r="H1" s="11"/>
    </row>
    <row r="2" spans="1:19" ht="3" customHeight="1" x14ac:dyDescent="0.2"/>
    <row r="3" spans="1:19" x14ac:dyDescent="0.2">
      <c r="A3" s="339" t="s">
        <v>131</v>
      </c>
      <c r="B3" s="340"/>
      <c r="C3" s="341"/>
      <c r="D3" s="5" t="s">
        <v>27</v>
      </c>
      <c r="E3" s="20"/>
      <c r="F3" s="345" t="s">
        <v>33</v>
      </c>
      <c r="G3" s="346"/>
      <c r="H3" s="346"/>
      <c r="I3" s="347"/>
      <c r="J3" s="19"/>
      <c r="K3" s="342" t="s">
        <v>39</v>
      </c>
      <c r="L3" s="343"/>
      <c r="M3" s="343"/>
      <c r="N3" s="344"/>
    </row>
    <row r="4" spans="1:19" ht="12" customHeight="1" x14ac:dyDescent="0.2">
      <c r="A4" s="269" t="s">
        <v>245</v>
      </c>
      <c r="B4" s="327" t="s">
        <v>278</v>
      </c>
      <c r="C4" s="270"/>
      <c r="D4" s="273">
        <v>600</v>
      </c>
      <c r="E4" s="21"/>
      <c r="F4" s="352" t="s">
        <v>171</v>
      </c>
      <c r="G4" s="353"/>
      <c r="H4" s="354"/>
      <c r="I4" s="223">
        <v>3643.89</v>
      </c>
      <c r="J4" s="22"/>
      <c r="K4" s="23"/>
      <c r="L4" s="23" t="s">
        <v>7</v>
      </c>
      <c r="M4" s="23" t="s">
        <v>6</v>
      </c>
      <c r="N4" s="23" t="s">
        <v>93</v>
      </c>
    </row>
    <row r="5" spans="1:19" ht="12" customHeight="1" x14ac:dyDescent="0.2">
      <c r="A5" t="s">
        <v>274</v>
      </c>
      <c r="B5" s="328" t="s">
        <v>277</v>
      </c>
      <c r="C5" s="272"/>
      <c r="D5" s="274">
        <v>175</v>
      </c>
      <c r="E5" s="24"/>
      <c r="F5" s="355" t="s">
        <v>139</v>
      </c>
      <c r="G5" s="356"/>
      <c r="H5" s="357"/>
      <c r="I5" s="224">
        <v>2417.96</v>
      </c>
      <c r="J5" s="22"/>
      <c r="K5" s="25" t="s">
        <v>8</v>
      </c>
      <c r="L5" s="26">
        <f>Budget!L62</f>
        <v>28206</v>
      </c>
      <c r="M5" s="27">
        <f>Budget!K62</f>
        <v>21375</v>
      </c>
      <c r="N5" s="26">
        <f>SUM(M5)-L5</f>
        <v>-6831</v>
      </c>
    </row>
    <row r="6" spans="1:19" ht="12" customHeight="1" x14ac:dyDescent="0.2">
      <c r="A6" t="s">
        <v>275</v>
      </c>
      <c r="B6" s="328" t="s">
        <v>276</v>
      </c>
      <c r="C6" s="272"/>
      <c r="D6" s="275">
        <v>497.31</v>
      </c>
      <c r="E6" s="24"/>
      <c r="F6" s="355" t="s">
        <v>38</v>
      </c>
      <c r="G6" s="356"/>
      <c r="H6" s="357"/>
      <c r="I6" s="231">
        <v>0</v>
      </c>
      <c r="J6" s="22"/>
      <c r="K6" s="25" t="s">
        <v>218</v>
      </c>
      <c r="L6" s="26">
        <v>6061.85</v>
      </c>
      <c r="M6" s="27">
        <v>6061.85</v>
      </c>
      <c r="N6" s="26">
        <v>0</v>
      </c>
    </row>
    <row r="7" spans="1:19" ht="12" customHeight="1" x14ac:dyDescent="0.2">
      <c r="A7" s="271" t="s">
        <v>246</v>
      </c>
      <c r="B7" s="272"/>
      <c r="C7" s="272"/>
      <c r="D7" s="275">
        <v>291</v>
      </c>
      <c r="E7" s="28"/>
      <c r="F7" s="355" t="s">
        <v>94</v>
      </c>
      <c r="G7" s="356"/>
      <c r="H7" s="357"/>
      <c r="I7" s="225">
        <f>SUM(I4:I6)</f>
        <v>6061.85</v>
      </c>
      <c r="J7" s="22"/>
      <c r="K7" s="25" t="s">
        <v>45</v>
      </c>
      <c r="L7" s="26">
        <f>Budget!L64</f>
        <v>10</v>
      </c>
      <c r="M7" s="26">
        <f>Budget!K64</f>
        <v>1.82</v>
      </c>
      <c r="N7" s="26">
        <f t="shared" ref="N7:N9" si="0">SUM(M7)-L7</f>
        <v>-8.18</v>
      </c>
    </row>
    <row r="8" spans="1:19" ht="12" customHeight="1" x14ac:dyDescent="0.2">
      <c r="A8" s="271" t="s">
        <v>247</v>
      </c>
      <c r="B8" s="272"/>
      <c r="C8" s="272"/>
      <c r="D8" s="274">
        <v>62.97</v>
      </c>
      <c r="E8" s="28"/>
      <c r="F8" s="355" t="s">
        <v>55</v>
      </c>
      <c r="G8" s="356"/>
      <c r="H8" s="357"/>
      <c r="I8" s="226"/>
      <c r="J8" s="30"/>
      <c r="K8" s="25" t="s">
        <v>172</v>
      </c>
      <c r="L8" s="26"/>
      <c r="M8" s="26">
        <f>F25</f>
        <v>30.74</v>
      </c>
      <c r="N8" s="26">
        <f t="shared" si="0"/>
        <v>30.74</v>
      </c>
      <c r="S8" s="10"/>
    </row>
    <row r="9" spans="1:19" ht="12" customHeight="1" x14ac:dyDescent="0.2">
      <c r="A9" s="361" t="s">
        <v>285</v>
      </c>
      <c r="B9" s="272" t="s">
        <v>24</v>
      </c>
      <c r="C9" s="272"/>
      <c r="D9" s="274">
        <v>242.97</v>
      </c>
      <c r="E9" s="28"/>
      <c r="F9" s="355"/>
      <c r="G9" s="356"/>
      <c r="H9" s="357"/>
      <c r="I9" s="225">
        <f>SUM(I7-I8)</f>
        <v>6061.85</v>
      </c>
      <c r="J9" s="31"/>
      <c r="K9" s="25" t="s">
        <v>194</v>
      </c>
      <c r="L9" s="25">
        <v>0</v>
      </c>
      <c r="M9" s="26">
        <f>D28</f>
        <v>0</v>
      </c>
      <c r="N9" s="26">
        <f t="shared" si="0"/>
        <v>0</v>
      </c>
    </row>
    <row r="10" spans="1:19" ht="12" customHeight="1" x14ac:dyDescent="0.2">
      <c r="A10" s="271" t="s">
        <v>18</v>
      </c>
      <c r="B10" s="272"/>
      <c r="C10" s="272"/>
      <c r="D10" s="274">
        <v>89</v>
      </c>
      <c r="E10" s="28"/>
      <c r="F10" s="355" t="s">
        <v>34</v>
      </c>
      <c r="G10" s="356"/>
      <c r="H10" s="357"/>
      <c r="I10" s="227">
        <f>Cashbook!F149</f>
        <v>27438.86</v>
      </c>
      <c r="J10" s="31"/>
      <c r="K10" s="23" t="s">
        <v>0</v>
      </c>
      <c r="L10" s="32">
        <f>SUM(L5:L9)</f>
        <v>34277.85</v>
      </c>
      <c r="M10" s="32">
        <f>SUM(M5:M9)</f>
        <v>27469.41</v>
      </c>
      <c r="N10" s="32">
        <f>SUM(N5:N9)</f>
        <v>-6808.4400000000005</v>
      </c>
    </row>
    <row r="11" spans="1:19" ht="12" customHeight="1" x14ac:dyDescent="0.2">
      <c r="A11" s="271"/>
      <c r="B11" s="272"/>
      <c r="C11" s="272"/>
      <c r="D11" s="274"/>
      <c r="E11" s="28"/>
      <c r="F11" s="355" t="s">
        <v>169</v>
      </c>
      <c r="G11" s="356"/>
      <c r="H11" s="357"/>
      <c r="I11" s="228">
        <f>SUM(Cashbook!G144,Cashbook!H144)</f>
        <v>6391.59</v>
      </c>
      <c r="J11" s="33"/>
      <c r="K11" s="31"/>
      <c r="L11" s="29"/>
      <c r="M11" s="29"/>
      <c r="N11" s="29"/>
    </row>
    <row r="12" spans="1:19" ht="12" customHeight="1" x14ac:dyDescent="0.2">
      <c r="A12" s="271"/>
      <c r="B12" s="272"/>
      <c r="C12" s="272"/>
      <c r="D12" s="274"/>
      <c r="E12" s="28"/>
      <c r="F12" s="355" t="s">
        <v>35</v>
      </c>
      <c r="G12" s="356"/>
      <c r="H12" s="357"/>
      <c r="I12" s="229"/>
      <c r="J12" s="33"/>
      <c r="K12" s="232" t="s">
        <v>195</v>
      </c>
      <c r="L12" s="233"/>
      <c r="M12" s="29"/>
      <c r="N12" s="29"/>
    </row>
    <row r="13" spans="1:19" ht="12" customHeight="1" x14ac:dyDescent="0.2">
      <c r="A13" s="348"/>
      <c r="B13" s="349"/>
      <c r="C13" s="349"/>
      <c r="D13" s="222"/>
      <c r="E13" s="28"/>
      <c r="F13" s="358" t="s">
        <v>36</v>
      </c>
      <c r="G13" s="359"/>
      <c r="H13" s="360"/>
      <c r="I13" s="230">
        <f>SUM(I10-I11-I12)</f>
        <v>21047.27</v>
      </c>
      <c r="J13" s="33"/>
      <c r="K13" s="33"/>
      <c r="L13" s="29"/>
      <c r="M13" s="29"/>
      <c r="N13" s="29"/>
    </row>
    <row r="14" spans="1:19" x14ac:dyDescent="0.2">
      <c r="A14" s="350"/>
      <c r="B14" s="351"/>
      <c r="C14" s="351"/>
      <c r="D14" s="263"/>
      <c r="E14" s="28"/>
      <c r="F14" s="33"/>
      <c r="G14" s="33"/>
      <c r="H14" s="33"/>
      <c r="I14" s="33"/>
      <c r="J14" s="33"/>
      <c r="K14" s="33"/>
      <c r="L14" s="29"/>
      <c r="M14" s="29"/>
      <c r="N14" s="29"/>
    </row>
    <row r="15" spans="1:19" ht="12.75" customHeight="1" x14ac:dyDescent="0.2">
      <c r="A15" s="34"/>
      <c r="B15" s="35"/>
      <c r="C15" s="35"/>
      <c r="D15" s="187">
        <f>SUM(D4:D14)</f>
        <v>1958.25</v>
      </c>
      <c r="E15" s="36"/>
      <c r="F15" s="33"/>
      <c r="G15" s="33"/>
      <c r="H15" s="33"/>
      <c r="I15" s="33"/>
      <c r="J15" s="33"/>
      <c r="K15" s="33"/>
      <c r="L15" s="29"/>
      <c r="M15" s="29"/>
      <c r="N15" s="29"/>
    </row>
    <row r="16" spans="1:19" ht="4.5" customHeight="1" x14ac:dyDescent="0.2">
      <c r="A16" s="37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29"/>
      <c r="M16" s="29"/>
      <c r="N16" s="29"/>
    </row>
    <row r="17" spans="1:17" x14ac:dyDescent="0.2">
      <c r="A17" s="276" t="s">
        <v>30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</row>
    <row r="18" spans="1:17" x14ac:dyDescent="0.2">
      <c r="A18" s="38" t="s">
        <v>29</v>
      </c>
      <c r="B18" s="39" t="s">
        <v>9</v>
      </c>
      <c r="C18" s="39" t="s">
        <v>31</v>
      </c>
      <c r="D18" s="39" t="s">
        <v>194</v>
      </c>
      <c r="F18" s="39" t="s">
        <v>193</v>
      </c>
      <c r="G18" s="39" t="s">
        <v>92</v>
      </c>
      <c r="H18" s="286" t="s">
        <v>32</v>
      </c>
      <c r="I18" s="287"/>
      <c r="J18" s="287"/>
      <c r="K18" s="287"/>
      <c r="L18" s="287"/>
      <c r="M18" s="287"/>
      <c r="N18" s="288"/>
    </row>
    <row r="19" spans="1:17" x14ac:dyDescent="0.2">
      <c r="A19" s="26" t="s">
        <v>90</v>
      </c>
      <c r="B19" s="188">
        <f>Budget!L10</f>
        <v>6100</v>
      </c>
      <c r="C19" s="40">
        <f>SUM(Budget!K4:K8)</f>
        <v>2450</v>
      </c>
      <c r="D19" s="40">
        <f>Budget!K9</f>
        <v>0</v>
      </c>
      <c r="F19" s="40">
        <f>Budget!K10</f>
        <v>2450</v>
      </c>
      <c r="G19" s="40">
        <f>SUM(B19)-SUM(F19)</f>
        <v>3650</v>
      </c>
      <c r="H19" s="286"/>
      <c r="I19" s="287"/>
      <c r="J19" s="287"/>
      <c r="K19" s="287"/>
      <c r="L19" s="287"/>
      <c r="M19" s="287"/>
      <c r="N19" s="288"/>
    </row>
    <row r="20" spans="1:17" x14ac:dyDescent="0.2">
      <c r="A20" s="26" t="s">
        <v>12</v>
      </c>
      <c r="B20" s="41">
        <f>Budget!L23</f>
        <v>15650</v>
      </c>
      <c r="C20" s="40">
        <f>SUM(Budget!K11:K21)</f>
        <v>341.11</v>
      </c>
      <c r="D20" s="40">
        <f>Budget!K22</f>
        <v>0</v>
      </c>
      <c r="F20" s="40">
        <f>Budget!K23</f>
        <v>341.11</v>
      </c>
      <c r="G20" s="40">
        <f t="shared" ref="G20:G25" si="1">SUM(B20)-SUM(F20)</f>
        <v>15308.89</v>
      </c>
      <c r="H20" s="286"/>
      <c r="I20" s="287"/>
      <c r="J20" s="287"/>
      <c r="K20" s="287"/>
      <c r="L20" s="287"/>
      <c r="M20" s="287"/>
      <c r="N20" s="288"/>
    </row>
    <row r="21" spans="1:17" x14ac:dyDescent="0.2">
      <c r="A21" s="26" t="s">
        <v>13</v>
      </c>
      <c r="B21" s="41">
        <f>Budget!L28</f>
        <v>4250</v>
      </c>
      <c r="C21" s="40">
        <f>SUM(Budget!K24:K27)</f>
        <v>1443.5</v>
      </c>
      <c r="D21" s="40">
        <v>0</v>
      </c>
      <c r="F21" s="40">
        <f>Budget!K28</f>
        <v>1443.5</v>
      </c>
      <c r="G21" s="40">
        <f t="shared" si="1"/>
        <v>2806.5</v>
      </c>
      <c r="H21" s="286"/>
      <c r="I21" s="287"/>
      <c r="J21" s="287"/>
      <c r="K21" s="287"/>
      <c r="L21" s="287"/>
      <c r="M21" s="287"/>
      <c r="N21" s="288"/>
    </row>
    <row r="22" spans="1:17" x14ac:dyDescent="0.2">
      <c r="A22" s="26" t="s">
        <v>15</v>
      </c>
      <c r="B22" s="41">
        <f>Budget!L43</f>
        <v>7275</v>
      </c>
      <c r="C22" s="40">
        <f>SUM(Budget!K30:K41)</f>
        <v>1832.42</v>
      </c>
      <c r="D22" s="40">
        <f>Budget!K42</f>
        <v>0</v>
      </c>
      <c r="F22" s="40">
        <f>Budget!K43</f>
        <v>1832.42</v>
      </c>
      <c r="G22" s="40">
        <f t="shared" si="1"/>
        <v>5442.58</v>
      </c>
      <c r="H22" s="286"/>
      <c r="I22" s="287"/>
      <c r="J22" s="287"/>
      <c r="K22" s="287"/>
      <c r="L22" s="287"/>
      <c r="M22" s="287"/>
      <c r="N22" s="288"/>
    </row>
    <row r="23" spans="1:17" x14ac:dyDescent="0.2">
      <c r="A23" s="26" t="s">
        <v>10</v>
      </c>
      <c r="B23" s="41">
        <f>Budget!L52</f>
        <v>550</v>
      </c>
      <c r="C23" s="40">
        <f>SUM(Budget!K44:K51)</f>
        <v>293.82</v>
      </c>
      <c r="D23" s="40">
        <v>0</v>
      </c>
      <c r="F23" s="40">
        <f>Budget!K52</f>
        <v>293.82</v>
      </c>
      <c r="G23" s="40">
        <f t="shared" si="1"/>
        <v>256.18</v>
      </c>
      <c r="H23" s="286"/>
      <c r="I23" s="287"/>
      <c r="J23" s="287"/>
      <c r="K23" s="287"/>
      <c r="L23" s="287"/>
      <c r="M23" s="287"/>
      <c r="N23" s="288"/>
    </row>
    <row r="24" spans="1:17" x14ac:dyDescent="0.2">
      <c r="A24" s="26" t="s">
        <v>91</v>
      </c>
      <c r="B24" s="41">
        <f>Budget!L56</f>
        <v>400</v>
      </c>
      <c r="C24" s="40">
        <f>SUM(Budget!K53:K55)</f>
        <v>0</v>
      </c>
      <c r="D24" s="40">
        <v>0</v>
      </c>
      <c r="F24" s="40">
        <f>Budget!K56</f>
        <v>0</v>
      </c>
      <c r="G24" s="40">
        <f t="shared" si="1"/>
        <v>400</v>
      </c>
      <c r="H24" s="286"/>
      <c r="I24" s="287"/>
      <c r="J24" s="287"/>
      <c r="K24" s="287"/>
      <c r="L24" s="287"/>
      <c r="M24" s="287"/>
      <c r="N24" s="288"/>
    </row>
    <row r="25" spans="1:17" x14ac:dyDescent="0.2">
      <c r="A25" s="26" t="s">
        <v>168</v>
      </c>
      <c r="B25" s="41">
        <f>Cashbook!H144</f>
        <v>30.74</v>
      </c>
      <c r="C25" s="40">
        <f>Cashbook!H144</f>
        <v>30.74</v>
      </c>
      <c r="D25" s="40">
        <v>0</v>
      </c>
      <c r="F25" s="40">
        <f>Cashbook!H144</f>
        <v>30.74</v>
      </c>
      <c r="G25" s="40">
        <f t="shared" si="1"/>
        <v>0</v>
      </c>
      <c r="H25" s="286"/>
      <c r="I25" s="287"/>
      <c r="J25" s="287"/>
      <c r="K25" s="287"/>
      <c r="L25" s="287"/>
      <c r="M25" s="287"/>
      <c r="N25" s="288"/>
    </row>
    <row r="26" spans="1:17" x14ac:dyDescent="0.2">
      <c r="A26" s="26" t="s">
        <v>157</v>
      </c>
      <c r="B26" s="41">
        <f>Budget!L66</f>
        <v>0</v>
      </c>
      <c r="C26" s="40"/>
      <c r="D26" s="40">
        <f>Budget!K66</f>
        <v>0</v>
      </c>
      <c r="F26" s="40">
        <f>-D26</f>
        <v>0</v>
      </c>
      <c r="G26" s="40">
        <f t="shared" ref="G26" si="2">SUM(B26)-SUM(F26)</f>
        <v>0</v>
      </c>
      <c r="H26" s="286"/>
      <c r="I26" s="287"/>
      <c r="J26" s="287"/>
      <c r="K26" s="287"/>
      <c r="L26" s="287"/>
      <c r="M26" s="287"/>
      <c r="N26" s="288"/>
      <c r="Q26" s="4"/>
    </row>
    <row r="27" spans="1:17" ht="4.5" customHeight="1" x14ac:dyDescent="0.2">
      <c r="A27" s="26"/>
      <c r="B27" s="41"/>
      <c r="C27" s="40"/>
      <c r="D27" s="40"/>
      <c r="F27" s="40"/>
      <c r="G27" s="40"/>
      <c r="H27" s="286"/>
      <c r="I27" s="287"/>
      <c r="J27" s="287"/>
      <c r="K27" s="287"/>
      <c r="L27" s="287"/>
      <c r="M27" s="287"/>
      <c r="N27" s="288"/>
    </row>
    <row r="28" spans="1:17" x14ac:dyDescent="0.2">
      <c r="A28" s="23" t="s">
        <v>0</v>
      </c>
      <c r="B28" s="41">
        <f>SUM(B19:B27)</f>
        <v>34255.74</v>
      </c>
      <c r="C28" s="41">
        <f>SUM(C19:C27)</f>
        <v>6391.59</v>
      </c>
      <c r="D28" s="41">
        <f>SUM(D19:D27)</f>
        <v>0</v>
      </c>
      <c r="F28" s="41">
        <f>SUM(F19:F27)</f>
        <v>6391.59</v>
      </c>
      <c r="G28" s="41">
        <f>SUM(G19:G27)</f>
        <v>27864.15</v>
      </c>
      <c r="H28" s="286"/>
      <c r="I28" s="287"/>
      <c r="J28" s="287"/>
      <c r="K28" s="287"/>
      <c r="L28" s="287"/>
      <c r="M28" s="287"/>
      <c r="N28" s="288"/>
    </row>
    <row r="29" spans="1:17" ht="7.5" customHeight="1" x14ac:dyDescent="0.2"/>
    <row r="30" spans="1:17" ht="12.75" customHeight="1" x14ac:dyDescent="0.2">
      <c r="A30" s="277" t="s">
        <v>132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9"/>
    </row>
    <row r="31" spans="1:17" x14ac:dyDescent="0.2">
      <c r="A31" s="329" t="s">
        <v>280</v>
      </c>
      <c r="B31" s="330" t="s">
        <v>279</v>
      </c>
      <c r="C31" s="330">
        <v>625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2"/>
    </row>
    <row r="32" spans="1:17" x14ac:dyDescent="0.2">
      <c r="A32" s="329" t="s">
        <v>280</v>
      </c>
      <c r="B32" s="330" t="s">
        <v>281</v>
      </c>
      <c r="C32" s="330">
        <v>1000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2"/>
    </row>
    <row r="33" spans="1:14" x14ac:dyDescent="0.2">
      <c r="A33" s="329" t="s">
        <v>282</v>
      </c>
      <c r="B33" s="331"/>
      <c r="C33" s="330">
        <v>2450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2"/>
    </row>
    <row r="34" spans="1:14" x14ac:dyDescent="0.2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2"/>
    </row>
    <row r="35" spans="1:14" x14ac:dyDescent="0.2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2"/>
    </row>
    <row r="36" spans="1:14" x14ac:dyDescent="0.2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2"/>
    </row>
    <row r="37" spans="1:14" x14ac:dyDescent="0.2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2"/>
    </row>
    <row r="38" spans="1:14" x14ac:dyDescent="0.2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2"/>
    </row>
    <row r="39" spans="1:14" x14ac:dyDescent="0.2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2"/>
    </row>
    <row r="40" spans="1:14" x14ac:dyDescent="0.2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5"/>
    </row>
    <row r="44" spans="1:14" ht="12" customHeight="1" x14ac:dyDescent="0.2"/>
  </sheetData>
  <mergeCells count="15">
    <mergeCell ref="A3:C3"/>
    <mergeCell ref="K3:N3"/>
    <mergeCell ref="F3:I3"/>
    <mergeCell ref="A13:C13"/>
    <mergeCell ref="A14:C14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</mergeCells>
  <phoneticPr fontId="6" type="noConversion"/>
  <conditionalFormatting sqref="G19:G26">
    <cfRule type="cellIs" dxfId="0" priority="1" stopIfTrue="1" operator="lessThan">
      <formula>0</formula>
    </cfRule>
  </conditionalFormatting>
  <pageMargins left="7.874015748031496E-2" right="7.874015748031496E-2" top="7.874015748031496E-2" bottom="7.874015748031496E-2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F047ACAA0B14FAFEA258AB657A91B" ma:contentTypeVersion="10" ma:contentTypeDescription="Create a new document." ma:contentTypeScope="" ma:versionID="8dfd00fd5028cf5d8ec3836510ec531c">
  <xsd:schema xmlns:xsd="http://www.w3.org/2001/XMLSchema" xmlns:xs="http://www.w3.org/2001/XMLSchema" xmlns:p="http://schemas.microsoft.com/office/2006/metadata/properties" xmlns:ns3="b430ef5d-3491-4082-8037-8069ace1fea5" xmlns:ns4="a64e3c12-6f9a-49f1-b94e-16754ca394ce" targetNamespace="http://schemas.microsoft.com/office/2006/metadata/properties" ma:root="true" ma:fieldsID="ad354204c716c5a643bf59c2184365d5" ns3:_="" ns4:_="">
    <xsd:import namespace="b430ef5d-3491-4082-8037-8069ace1fea5"/>
    <xsd:import namespace="a64e3c12-6f9a-49f1-b94e-16754ca394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0ef5d-3491-4082-8037-8069ace1f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3c12-6f9a-49f1-b94e-16754ca39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0CD72-4A1D-492F-9259-A4AA1F791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0ef5d-3491-4082-8037-8069ace1fea5"/>
    <ds:schemaRef ds:uri="a64e3c12-6f9a-49f1-b94e-16754ca39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64966-6BEA-4687-B7C1-BC89DFA82F66}">
  <ds:schemaRefs>
    <ds:schemaRef ds:uri="http://purl.org/dc/terms/"/>
    <ds:schemaRef ds:uri="a64e3c12-6f9a-49f1-b94e-16754ca394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30ef5d-3491-4082-8037-8069ace1fe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722C6E-6134-45AB-92DE-BC1776DD5B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Budget</vt:lpstr>
      <vt:lpstr>PC Assets</vt:lpstr>
      <vt:lpstr>Cashbook</vt:lpstr>
      <vt:lpstr>Report</vt:lpstr>
      <vt:lpstr>Budget_Lines</vt:lpstr>
      <vt:lpstr>Budget!Print_Area</vt:lpstr>
      <vt:lpstr>Cashbook!Print_Area</vt:lpstr>
      <vt:lpstr>Report!Print_Area</vt:lpstr>
      <vt:lpstr>Cashbook!Print_Titles</vt:lpstr>
      <vt:lpstr>Sub_categories</vt:lpstr>
    </vt:vector>
  </TitlesOfParts>
  <Company>Slater4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Slater</dc:creator>
  <cp:lastModifiedBy>Shani Baker</cp:lastModifiedBy>
  <cp:lastPrinted>2020-05-20T17:04:15Z</cp:lastPrinted>
  <dcterms:created xsi:type="dcterms:W3CDTF">2010-10-31T11:29:21Z</dcterms:created>
  <dcterms:modified xsi:type="dcterms:W3CDTF">2020-06-15T12:39:32Z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0x01010059DF047ACAA0B14FAFEA258AB657A91B</vt:lpwstr>
  </property>
</Properties>
</file>