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/>
  <mc:AlternateContent xmlns:mc="http://schemas.openxmlformats.org/markup-compatibility/2006">
    <mc:Choice Requires="x15">
      <x15ac:absPath xmlns:x15ac="http://schemas.microsoft.com/office/spreadsheetml/2010/11/ac" url="D:\Avening Parish Council\Finance\"/>
    </mc:Choice>
  </mc:AlternateContent>
  <xr:revisionPtr revIDLastSave="0" documentId="13_ncr:1_{3B4EA64C-836C-4425-B414-50891A532787}" xr6:coauthVersionLast="45" xr6:coauthVersionMax="45" xr10:uidLastSave="{00000000-0000-0000-0000-000000000000}"/>
  <bookViews>
    <workbookView xWindow="-120" yWindow="-120" windowWidth="38640" windowHeight="21390" activeTab="2" xr2:uid="{00000000-000D-0000-FFFF-FFFF00000000}"/>
  </bookViews>
  <sheets>
    <sheet name="Budget" sheetId="12" r:id="rId1"/>
    <sheet name="PC Assets" sheetId="9" r:id="rId2"/>
    <sheet name="Cashbook" sheetId="8" r:id="rId3"/>
    <sheet name="Report" sheetId="5" r:id="rId4"/>
  </sheets>
  <definedNames>
    <definedName name="_xlnm._FilterDatabase" localSheetId="2" hidden="1">Cashbook!$B$5:$L$146</definedName>
    <definedName name="Budget_Lines">Cashbook!$Q$8:$Q$15</definedName>
    <definedName name="_xlnm.Print_Area" localSheetId="0">Budget!$A$1:$N$84</definedName>
    <definedName name="_xlnm.Print_Area" localSheetId="2">Cashbook!$B$1:$I$156</definedName>
    <definedName name="_xlnm.Print_Area" localSheetId="3">Report!$A$1:$N$40</definedName>
    <definedName name="_xlnm.Print_Titles" localSheetId="0">Budget!$1:$1</definedName>
    <definedName name="_xlnm.Print_Titles" localSheetId="2">Cashbook!$5:$5</definedName>
    <definedName name="Sub_categories">Cashbook!$Q$18:$Q$32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37" i="8" l="1"/>
  <c r="M38" i="8"/>
  <c r="M39" i="8"/>
  <c r="M40" i="8"/>
  <c r="M41" i="8"/>
  <c r="L82" i="12"/>
  <c r="M70" i="12" l="1"/>
  <c r="M25" i="12"/>
  <c r="M40" i="12"/>
  <c r="M49" i="12"/>
  <c r="D15" i="5" l="1"/>
  <c r="K2" i="12" l="1"/>
  <c r="L2" i="12" s="1"/>
  <c r="E27" i="5"/>
  <c r="K12" i="12" l="1"/>
  <c r="L5" i="5"/>
  <c r="I53" i="12"/>
  <c r="J53" i="12"/>
  <c r="K11" i="12"/>
  <c r="M5" i="5" l="1"/>
  <c r="L7" i="5"/>
  <c r="M92" i="8"/>
  <c r="M93" i="8"/>
  <c r="M94" i="8"/>
  <c r="M95" i="8"/>
  <c r="M96" i="8"/>
  <c r="M97" i="8"/>
  <c r="M98" i="8"/>
  <c r="M99" i="8"/>
  <c r="M100" i="8"/>
  <c r="M101" i="8"/>
  <c r="M102" i="8"/>
  <c r="M103" i="8"/>
  <c r="M104" i="8"/>
  <c r="M105" i="8"/>
  <c r="M106" i="8"/>
  <c r="M107" i="8"/>
  <c r="M108" i="8"/>
  <c r="M109" i="8"/>
  <c r="M110" i="8"/>
  <c r="M111" i="8"/>
  <c r="M112" i="8"/>
  <c r="M113" i="8"/>
  <c r="M114" i="8"/>
  <c r="M115" i="8"/>
  <c r="M116" i="8"/>
  <c r="M117" i="8"/>
  <c r="M118" i="8"/>
  <c r="M119" i="8"/>
  <c r="M120" i="8"/>
  <c r="M121" i="8"/>
  <c r="M122" i="8"/>
  <c r="M123" i="8"/>
  <c r="M124" i="8"/>
  <c r="M125" i="8"/>
  <c r="M126" i="8"/>
  <c r="M127" i="8"/>
  <c r="M128" i="8"/>
  <c r="M129" i="8"/>
  <c r="M130" i="8"/>
  <c r="M131" i="8"/>
  <c r="M132" i="8"/>
  <c r="M133" i="8"/>
  <c r="M134" i="8"/>
  <c r="M135" i="8"/>
  <c r="M136" i="8"/>
  <c r="M137" i="8"/>
  <c r="M138" i="8"/>
  <c r="M139" i="8"/>
  <c r="M91" i="8" l="1"/>
  <c r="I144" i="8" l="1"/>
  <c r="H144" i="8"/>
  <c r="M8" i="8"/>
  <c r="M9" i="8"/>
  <c r="M10" i="8"/>
  <c r="M11" i="8"/>
  <c r="M12" i="8"/>
  <c r="M13" i="8"/>
  <c r="M14" i="8"/>
  <c r="M16" i="8"/>
  <c r="M17" i="8"/>
  <c r="M18" i="8"/>
  <c r="M19" i="8"/>
  <c r="M20" i="8"/>
  <c r="M21" i="8"/>
  <c r="M22" i="8"/>
  <c r="M23" i="8"/>
  <c r="M24" i="8"/>
  <c r="M25" i="8"/>
  <c r="M26" i="8"/>
  <c r="M27" i="8"/>
  <c r="M28" i="8"/>
  <c r="M29" i="8"/>
  <c r="M30" i="8"/>
  <c r="M31" i="8"/>
  <c r="M32" i="8"/>
  <c r="M33" i="8"/>
  <c r="M34" i="8"/>
  <c r="M35" i="8"/>
  <c r="M36" i="8"/>
  <c r="M42" i="8"/>
  <c r="M43" i="8"/>
  <c r="M44" i="8"/>
  <c r="M45" i="8"/>
  <c r="M46" i="8"/>
  <c r="M47" i="8"/>
  <c r="M48" i="8"/>
  <c r="M49" i="8"/>
  <c r="M50" i="8"/>
  <c r="M51" i="8"/>
  <c r="M52" i="8"/>
  <c r="M53" i="8"/>
  <c r="M54" i="8"/>
  <c r="M55" i="8"/>
  <c r="M56" i="8"/>
  <c r="M57" i="8"/>
  <c r="M58" i="8"/>
  <c r="M59" i="8"/>
  <c r="M60" i="8"/>
  <c r="M61" i="8"/>
  <c r="M62" i="8"/>
  <c r="M63" i="8"/>
  <c r="M64" i="8"/>
  <c r="M65" i="8"/>
  <c r="M66" i="8"/>
  <c r="M67" i="8"/>
  <c r="M68" i="8"/>
  <c r="M69" i="8"/>
  <c r="M70" i="8"/>
  <c r="M71" i="8"/>
  <c r="M72" i="8"/>
  <c r="M73" i="8"/>
  <c r="M74" i="8"/>
  <c r="M75" i="8"/>
  <c r="M76" i="8"/>
  <c r="M77" i="8"/>
  <c r="M78" i="8"/>
  <c r="M79" i="8"/>
  <c r="M80" i="8"/>
  <c r="M81" i="8"/>
  <c r="M82" i="8"/>
  <c r="M83" i="8"/>
  <c r="M84" i="8"/>
  <c r="M85" i="8"/>
  <c r="M86" i="8"/>
  <c r="M87" i="8"/>
  <c r="M88" i="8"/>
  <c r="M89" i="8"/>
  <c r="M90" i="8"/>
  <c r="M7" i="8"/>
  <c r="M162" i="8" l="1"/>
  <c r="G144" i="8"/>
  <c r="J140" i="8"/>
  <c r="M140" i="8" s="1"/>
  <c r="J141" i="8"/>
  <c r="M141" i="8" s="1"/>
  <c r="J142" i="8"/>
  <c r="M142" i="8" s="1"/>
  <c r="J143" i="8"/>
  <c r="M143" i="8" s="1"/>
  <c r="J145" i="8"/>
  <c r="M145" i="8" s="1"/>
  <c r="J146" i="8"/>
  <c r="M146" i="8" s="1"/>
  <c r="K67" i="12"/>
  <c r="K63" i="12"/>
  <c r="M63" i="12" s="1"/>
  <c r="K38" i="12"/>
  <c r="K37" i="12"/>
  <c r="M37" i="12" s="1"/>
  <c r="K80" i="12"/>
  <c r="K15" i="12"/>
  <c r="K47" i="12"/>
  <c r="M47" i="12" s="1"/>
  <c r="K46" i="12"/>
  <c r="M46" i="12" s="1"/>
  <c r="K36" i="12"/>
  <c r="M36" i="12" s="1"/>
  <c r="K66" i="12"/>
  <c r="M66" i="12" s="1"/>
  <c r="K13" i="12"/>
  <c r="K14" i="12"/>
  <c r="K64" i="12"/>
  <c r="M64" i="12" s="1"/>
  <c r="K65" i="12"/>
  <c r="M65" i="12" s="1"/>
  <c r="K78" i="12"/>
  <c r="M78" i="12" s="1"/>
  <c r="K79" i="12"/>
  <c r="M79" i="12" s="1"/>
  <c r="L24" i="12"/>
  <c r="B22" i="5" s="1"/>
  <c r="K45" i="12"/>
  <c r="M45" i="12" s="1"/>
  <c r="D81" i="12"/>
  <c r="E81" i="12"/>
  <c r="F81" i="12"/>
  <c r="G81" i="12"/>
  <c r="H81" i="12"/>
  <c r="L81" i="12"/>
  <c r="D52" i="12"/>
  <c r="E52" i="12"/>
  <c r="F52" i="12"/>
  <c r="G52" i="12"/>
  <c r="H52" i="12"/>
  <c r="L52" i="12"/>
  <c r="K51" i="12"/>
  <c r="M51" i="12" s="1"/>
  <c r="K50" i="12"/>
  <c r="M50" i="12" s="1"/>
  <c r="K44" i="12"/>
  <c r="M44" i="12" s="1"/>
  <c r="K43" i="12"/>
  <c r="M43" i="12" s="1"/>
  <c r="K42" i="12"/>
  <c r="M42" i="12" s="1"/>
  <c r="K41" i="12"/>
  <c r="M41" i="12" s="1"/>
  <c r="K35" i="12"/>
  <c r="M35" i="12" s="1"/>
  <c r="K34" i="12"/>
  <c r="M34" i="12" s="1"/>
  <c r="K33" i="12"/>
  <c r="M33" i="12" s="1"/>
  <c r="K32" i="12"/>
  <c r="M32" i="12" s="1"/>
  <c r="K31" i="12"/>
  <c r="M31" i="12" s="1"/>
  <c r="K30" i="12"/>
  <c r="M30" i="12" s="1"/>
  <c r="K29" i="12"/>
  <c r="M29" i="12" s="1"/>
  <c r="K28" i="12"/>
  <c r="M28" i="12" s="1"/>
  <c r="K27" i="12"/>
  <c r="M27" i="12" s="1"/>
  <c r="K26" i="12"/>
  <c r="M26" i="12" s="1"/>
  <c r="K23" i="12"/>
  <c r="M23" i="12" s="1"/>
  <c r="K22" i="12"/>
  <c r="M22" i="12" s="1"/>
  <c r="K21" i="12"/>
  <c r="M21" i="12" s="1"/>
  <c r="K77" i="12"/>
  <c r="M77" i="12" s="1"/>
  <c r="K76" i="12"/>
  <c r="M76" i="12" s="1"/>
  <c r="K75" i="12"/>
  <c r="M75" i="12" s="1"/>
  <c r="K74" i="12"/>
  <c r="M74" i="12" s="1"/>
  <c r="K73" i="12"/>
  <c r="M73" i="12" s="1"/>
  <c r="K72" i="12"/>
  <c r="M72" i="12" s="1"/>
  <c r="K71" i="12"/>
  <c r="M71" i="12" s="1"/>
  <c r="K69" i="12"/>
  <c r="M69" i="12" s="1"/>
  <c r="K62" i="12"/>
  <c r="M62" i="12" s="1"/>
  <c r="L48" i="12"/>
  <c r="B24" i="5" s="1"/>
  <c r="H48" i="12"/>
  <c r="G48" i="12"/>
  <c r="F48" i="12"/>
  <c r="E48" i="12"/>
  <c r="D48" i="12"/>
  <c r="L39" i="12"/>
  <c r="B23" i="5" s="1"/>
  <c r="H39" i="12"/>
  <c r="G39" i="12"/>
  <c r="F39" i="12"/>
  <c r="E39" i="12"/>
  <c r="D39" i="12"/>
  <c r="H24" i="12"/>
  <c r="G24" i="12"/>
  <c r="F24" i="12"/>
  <c r="E24" i="12"/>
  <c r="D24" i="12"/>
  <c r="L68" i="12"/>
  <c r="B19" i="5" s="1"/>
  <c r="H68" i="12"/>
  <c r="G68" i="12"/>
  <c r="F68" i="12"/>
  <c r="E68" i="12"/>
  <c r="D68" i="12"/>
  <c r="E32" i="9"/>
  <c r="D32" i="9"/>
  <c r="C32" i="9"/>
  <c r="B32" i="9"/>
  <c r="Q159" i="8"/>
  <c r="Q161" i="8" s="1"/>
  <c r="Q163" i="8" s="1"/>
  <c r="I7" i="5"/>
  <c r="I9" i="5" s="1"/>
  <c r="D20" i="5" l="1"/>
  <c r="D27" i="5" s="1"/>
  <c r="M9" i="5" s="1"/>
  <c r="M80" i="12"/>
  <c r="D23" i="5"/>
  <c r="M38" i="12"/>
  <c r="D19" i="5"/>
  <c r="M67" i="12"/>
  <c r="M7" i="5"/>
  <c r="N7" i="5" s="1"/>
  <c r="B25" i="5"/>
  <c r="L53" i="12"/>
  <c r="H53" i="12"/>
  <c r="G53" i="12"/>
  <c r="F53" i="12"/>
  <c r="E53" i="12"/>
  <c r="D53" i="12"/>
  <c r="B20" i="5"/>
  <c r="G149" i="8"/>
  <c r="I10" i="5" s="1"/>
  <c r="C25" i="5"/>
  <c r="K52" i="12"/>
  <c r="M52" i="12" s="1"/>
  <c r="K68" i="12"/>
  <c r="K24" i="12"/>
  <c r="C23" i="5"/>
  <c r="K48" i="12"/>
  <c r="C24" i="5"/>
  <c r="K39" i="12"/>
  <c r="K81" i="12"/>
  <c r="C22" i="5"/>
  <c r="N5" i="5"/>
  <c r="C20" i="5"/>
  <c r="I11" i="5"/>
  <c r="B26" i="5"/>
  <c r="F26" i="5"/>
  <c r="M8" i="5" s="1"/>
  <c r="M164" i="8"/>
  <c r="M165" i="8" s="1"/>
  <c r="C26" i="5"/>
  <c r="J144" i="8"/>
  <c r="C19" i="5"/>
  <c r="F23" i="5" l="1"/>
  <c r="G23" i="5" s="1"/>
  <c r="M39" i="12"/>
  <c r="F24" i="5"/>
  <c r="G24" i="5" s="1"/>
  <c r="M48" i="12"/>
  <c r="F19" i="5"/>
  <c r="G19" i="5" s="1"/>
  <c r="M68" i="12"/>
  <c r="K82" i="12"/>
  <c r="M81" i="12"/>
  <c r="F22" i="5"/>
  <c r="G22" i="5" s="1"/>
  <c r="M24" i="12"/>
  <c r="B27" i="5"/>
  <c r="C27" i="5"/>
  <c r="N9" i="5"/>
  <c r="F25" i="5"/>
  <c r="G25" i="5" s="1"/>
  <c r="K53" i="12"/>
  <c r="M53" i="12" s="1"/>
  <c r="F20" i="5"/>
  <c r="G20" i="5" s="1"/>
  <c r="I13" i="5"/>
  <c r="G150" i="8"/>
  <c r="G152" i="8" s="1"/>
  <c r="G155" i="8" s="1"/>
  <c r="M144" i="8"/>
  <c r="G26" i="5"/>
  <c r="F27" i="5" l="1"/>
  <c r="G27" i="5"/>
  <c r="N8" i="5"/>
  <c r="N10" i="5" s="1"/>
  <c r="Q165" i="8"/>
  <c r="K8" i="12"/>
  <c r="L10" i="12" s="1"/>
  <c r="L16" i="12" l="1"/>
  <c r="L6" i="5"/>
  <c r="L10" i="5" s="1"/>
  <c r="L57" i="12"/>
  <c r="L59" i="12" s="1"/>
  <c r="K10" i="12"/>
  <c r="M6" i="5" l="1"/>
  <c r="M10" i="5" s="1"/>
  <c r="K16" i="12"/>
  <c r="K55" i="12" s="1"/>
  <c r="K57" i="12"/>
  <c r="K59" i="12" s="1"/>
  <c r="B28" i="5"/>
  <c r="L55" i="12"/>
  <c r="L83" i="12" l="1"/>
  <c r="L84" i="12" s="1"/>
  <c r="M82" i="12"/>
  <c r="K83" i="12"/>
  <c r="G28" i="5"/>
</calcChain>
</file>

<file path=xl/sharedStrings.xml><?xml version="1.0" encoding="utf-8"?>
<sst xmlns="http://schemas.openxmlformats.org/spreadsheetml/2006/main" count="533" uniqueCount="345">
  <si>
    <t>Totals</t>
  </si>
  <si>
    <t>Asset Record</t>
  </si>
  <si>
    <t>Insurance</t>
  </si>
  <si>
    <t>Avening Parish Council</t>
  </si>
  <si>
    <t>Payments</t>
  </si>
  <si>
    <t>Receipts</t>
  </si>
  <si>
    <t>Actual</t>
  </si>
  <si>
    <t>Budgeted</t>
  </si>
  <si>
    <t>Precept</t>
  </si>
  <si>
    <t>Budget</t>
  </si>
  <si>
    <t>Memberships</t>
  </si>
  <si>
    <t>Payroll</t>
  </si>
  <si>
    <t>Projects</t>
  </si>
  <si>
    <t>Maintenance</t>
  </si>
  <si>
    <t>Other Contractors</t>
  </si>
  <si>
    <t>Council Running Costs</t>
  </si>
  <si>
    <t xml:space="preserve">Expenses/allowances </t>
  </si>
  <si>
    <t>GAPTC</t>
  </si>
  <si>
    <t>SLCC</t>
  </si>
  <si>
    <t>GRCC</t>
  </si>
  <si>
    <t>Glos Wildlife Trust</t>
  </si>
  <si>
    <t>Information Commissioner</t>
  </si>
  <si>
    <t>Training</t>
  </si>
  <si>
    <t>Meeting Room Hire</t>
  </si>
  <si>
    <t>Website</t>
  </si>
  <si>
    <t>Audit</t>
  </si>
  <si>
    <t>Reserves</t>
  </si>
  <si>
    <t>Amount</t>
  </si>
  <si>
    <t>Details</t>
  </si>
  <si>
    <t>Budget Heads</t>
  </si>
  <si>
    <t>Spend breakdown</t>
  </si>
  <si>
    <t>Spend YTD</t>
  </si>
  <si>
    <t>Comment</t>
  </si>
  <si>
    <t>Bank Reconciliation</t>
  </si>
  <si>
    <t>Total receipts</t>
  </si>
  <si>
    <t>Cheques issued not presented</t>
  </si>
  <si>
    <t>Closing balance</t>
  </si>
  <si>
    <t>Avening Parish Council Monthly Report</t>
  </si>
  <si>
    <t>30 day a/c</t>
  </si>
  <si>
    <t>Annual Receipts Summary</t>
  </si>
  <si>
    <t>Payment</t>
  </si>
  <si>
    <t xml:space="preserve">Date </t>
  </si>
  <si>
    <t>Description</t>
  </si>
  <si>
    <t>Method</t>
  </si>
  <si>
    <t>Receipt</t>
  </si>
  <si>
    <t>Interest</t>
  </si>
  <si>
    <t>Other</t>
  </si>
  <si>
    <t>VAT</t>
  </si>
  <si>
    <t>Sub totals</t>
  </si>
  <si>
    <t>Business 30 Day Notice</t>
  </si>
  <si>
    <t>Treasurer Account</t>
  </si>
  <si>
    <t>High Interest Deposit Account</t>
  </si>
  <si>
    <t>Less Payments</t>
  </si>
  <si>
    <t>Less Unpresented Cheques</t>
  </si>
  <si>
    <t>Closing Balance</t>
  </si>
  <si>
    <t>Unique Ref No</t>
  </si>
  <si>
    <t>Payment Method</t>
  </si>
  <si>
    <t>Valuation as at 31st March 2013</t>
  </si>
  <si>
    <t>Woodstock Triangle</t>
  </si>
  <si>
    <t>Point Road / High Street Triangle</t>
  </si>
  <si>
    <t>Rectory Lane Playing Fields</t>
  </si>
  <si>
    <t>Ash Path (Between High Street and Rectory Lane</t>
  </si>
  <si>
    <t>Custodian Trustee of Village Hall</t>
  </si>
  <si>
    <t>Play Field surfaces</t>
  </si>
  <si>
    <t>5 x Dog Bins (Pound Hill, Playing Field, Sunground. West End, Mays Lane)</t>
  </si>
  <si>
    <t>6 x Litter Bins (3 at Playing Field, Sunground, Mays Lane Bus Shelter)</t>
  </si>
  <si>
    <t>3 X Grit Bins (Sandford Leaze, School, Post Office)</t>
  </si>
  <si>
    <t>3 x Bus Shelters ( Mays Lane, Hampton Hill, High Street)</t>
  </si>
  <si>
    <t>Fence (at Ash Path)</t>
  </si>
  <si>
    <t>2 x Telephone Kiosks (Point Road and Nags Head</t>
  </si>
  <si>
    <t>1 x Bench Seat (Rectory Lane)</t>
  </si>
  <si>
    <t>4 x Notice Boards (Nags Head, 2 at Vidllage Hall, 1 not used</t>
  </si>
  <si>
    <t>Village Sign (High Street)</t>
  </si>
  <si>
    <t>High Viz Jackets and Litter Pickers</t>
  </si>
  <si>
    <t>Comments</t>
  </si>
  <si>
    <t>Playing Field</t>
  </si>
  <si>
    <t>Grass cutting</t>
  </si>
  <si>
    <t>Deeds Storage</t>
  </si>
  <si>
    <t>VAT Refund</t>
  </si>
  <si>
    <t>AUDIT &amp; LEGAL</t>
  </si>
  <si>
    <t>MEMBERSHIPS</t>
  </si>
  <si>
    <t>COUNCIL RUNNING COSTS</t>
  </si>
  <si>
    <t>MAINTENANCE</t>
  </si>
  <si>
    <t>PROJECTS</t>
  </si>
  <si>
    <t xml:space="preserve">COMMUNITY FUND            </t>
  </si>
  <si>
    <t>Community Fund</t>
  </si>
  <si>
    <t>Audit &amp; Legal</t>
  </si>
  <si>
    <t>Balance</t>
  </si>
  <si>
    <t>Difference</t>
  </si>
  <si>
    <t>Opening Balance at the Bank</t>
  </si>
  <si>
    <t>CLOSING BALANCES:</t>
  </si>
  <si>
    <t>Plus Unpresented Receipts</t>
  </si>
  <si>
    <t>Less Unpresented Cheques  (Bold)</t>
  </si>
  <si>
    <t>2 x Grit Bins (Church Farm and Ash Path)</t>
  </si>
  <si>
    <t>1 x Grit Bin (West End)</t>
  </si>
  <si>
    <t>Defibrillator</t>
  </si>
  <si>
    <t>Grit / Salt Spreader</t>
  </si>
  <si>
    <t>Grit Salt Shed</t>
  </si>
  <si>
    <t>Valuation as at 31st March 2014</t>
  </si>
  <si>
    <t>Valuation as at 31st March 2015</t>
  </si>
  <si>
    <t>Valuation as at 31st March 2016</t>
  </si>
  <si>
    <t>Budget 2013 - 2014</t>
  </si>
  <si>
    <t xml:space="preserve">Budget 2014 - 2015 </t>
  </si>
  <si>
    <t xml:space="preserve">Budget 2015 - 2016 </t>
  </si>
  <si>
    <t>Volunteer of the Year</t>
  </si>
  <si>
    <t>Avening History Group</t>
  </si>
  <si>
    <t>Project Manager</t>
  </si>
  <si>
    <t xml:space="preserve">Maintenance </t>
  </si>
  <si>
    <t>Water Pumps</t>
  </si>
  <si>
    <t xml:space="preserve"> Legal fees</t>
  </si>
  <si>
    <t>Notice boards</t>
  </si>
  <si>
    <t>Phone boxes</t>
  </si>
  <si>
    <t>Bus shelter</t>
  </si>
  <si>
    <t>Printing</t>
  </si>
  <si>
    <t xml:space="preserve">Refreshments for Meetings </t>
  </si>
  <si>
    <t>Chairman</t>
  </si>
  <si>
    <t>Budget 2016 - 17</t>
  </si>
  <si>
    <t>Payments for approval</t>
  </si>
  <si>
    <t xml:space="preserve">Notes:
</t>
  </si>
  <si>
    <t>Budget 2017-18</t>
  </si>
  <si>
    <t>Playing Field Upgrade</t>
  </si>
  <si>
    <t>3600.00 per year April 2017 - March 2020</t>
  </si>
  <si>
    <t>Hall insurance £837.11 paid Nov 2016 (year 2 of 5 year agreement) Council Insurance £409.39 paid May 2017 year 1 of 3 year agreement</t>
  </si>
  <si>
    <t>Treasurer Account A/C</t>
  </si>
  <si>
    <t>Budget 2018-19</t>
  </si>
  <si>
    <t>Grants &amp; General</t>
  </si>
  <si>
    <t>Village Hall - general maintenance</t>
  </si>
  <si>
    <t>Sub-category</t>
  </si>
  <si>
    <t>Community fund</t>
  </si>
  <si>
    <t>Running costs</t>
  </si>
  <si>
    <t>Budget lines</t>
  </si>
  <si>
    <t>Sub categories</t>
  </si>
  <si>
    <t>Sub category</t>
  </si>
  <si>
    <t>Audit and Legal</t>
  </si>
  <si>
    <t>Office expenses</t>
  </si>
  <si>
    <t>Other maintenance</t>
  </si>
  <si>
    <t>Includes broadband line for the hall</t>
  </si>
  <si>
    <t>Budget header</t>
  </si>
  <si>
    <t>GPFA</t>
  </si>
  <si>
    <t>Other grants/receipts</t>
  </si>
  <si>
    <t>Small Projects</t>
  </si>
  <si>
    <t>Small projects</t>
  </si>
  <si>
    <t>Glos Playing Fields Assn</t>
  </si>
  <si>
    <t>Maintenance of existing unit moved to Maintenance</t>
  </si>
  <si>
    <t>e.g. defib batteries/pads</t>
  </si>
  <si>
    <t>Villager magazine</t>
  </si>
  <si>
    <t>Villager Magazine</t>
  </si>
  <si>
    <t>Church</t>
  </si>
  <si>
    <t>VAT paid (to be reclaimed)</t>
  </si>
  <si>
    <t>Total payments (incl. VAT)</t>
  </si>
  <si>
    <t>Net amount</t>
  </si>
  <si>
    <t>Business a/c</t>
  </si>
  <si>
    <t>Other (VAT)</t>
  </si>
  <si>
    <t>Balance validation (VAT)</t>
  </si>
  <si>
    <t>Credits/donations</t>
  </si>
  <si>
    <t>Memorial Hall roof</t>
  </si>
  <si>
    <t>Credits/Donations</t>
  </si>
  <si>
    <t>Village events</t>
  </si>
  <si>
    <t>Includes Poppy Wreath and donation; requests from local organisations. Walks leaflets</t>
  </si>
  <si>
    <t>To include village events, Villager of the year, general village events &amp; Christmas tree</t>
  </si>
  <si>
    <t>Village Hall upgrade/ maintenance</t>
  </si>
  <si>
    <t>Due to be repainted?</t>
  </si>
  <si>
    <t>Final finishes</t>
  </si>
  <si>
    <t>New clerk &amp; councillors after elections</t>
  </si>
  <si>
    <t>for PC only - Youth Club is in community fund</t>
  </si>
  <si>
    <t>Village Events</t>
  </si>
  <si>
    <t>Net Spend YTD</t>
  </si>
  <si>
    <t>Grants etc</t>
  </si>
  <si>
    <t>*Clerk to complete</t>
  </si>
  <si>
    <t>Taken from Cashbook - VAT paid</t>
  </si>
  <si>
    <t>Dependent on public consultation</t>
  </si>
  <si>
    <t>general maintenance only - Roof appeal in Projects</t>
  </si>
  <si>
    <t xml:space="preserve"> </t>
  </si>
  <si>
    <t>Total Payment</t>
  </si>
  <si>
    <t>Credits</t>
  </si>
  <si>
    <t>AVENING PARISH COUNCIL - CASH BOOK 2019/2020</t>
  </si>
  <si>
    <t>Check sum</t>
  </si>
  <si>
    <t>Remaining precept</t>
  </si>
  <si>
    <t>Actuals 2020/21</t>
  </si>
  <si>
    <t>Budget 2020/21</t>
  </si>
  <si>
    <t>Actuals 2019-20</t>
  </si>
  <si>
    <t>Clerk's travel etc</t>
  </si>
  <si>
    <t>Clerk's salary</t>
  </si>
  <si>
    <t>Youth club grant from CDC</t>
  </si>
  <si>
    <t>VAT claim</t>
  </si>
  <si>
    <t xml:space="preserve">Available budget </t>
  </si>
  <si>
    <t>16.04.20</t>
  </si>
  <si>
    <t xml:space="preserve">P1 </t>
  </si>
  <si>
    <t>IPP John Collinson</t>
  </si>
  <si>
    <t>BACS</t>
  </si>
  <si>
    <t>09.04.20</t>
  </si>
  <si>
    <t>R1</t>
  </si>
  <si>
    <t>Bank Interest</t>
  </si>
  <si>
    <t>P2</t>
  </si>
  <si>
    <t>Hayes Parsons</t>
  </si>
  <si>
    <t>P3</t>
  </si>
  <si>
    <t>P4</t>
  </si>
  <si>
    <t>Clerk - Flowers John C</t>
  </si>
  <si>
    <t>P5</t>
  </si>
  <si>
    <t>P6</t>
  </si>
  <si>
    <t>GAPTC Membership</t>
  </si>
  <si>
    <t>21.04.20</t>
  </si>
  <si>
    <t>P7</t>
  </si>
  <si>
    <t>DD</t>
  </si>
  <si>
    <t>14.04.20</t>
  </si>
  <si>
    <t>R2</t>
  </si>
  <si>
    <t>29.04.20</t>
  </si>
  <si>
    <t>P8</t>
  </si>
  <si>
    <t>Avendale Maintenance</t>
  </si>
  <si>
    <t>Clerk Expenses</t>
  </si>
  <si>
    <t>11.05.20</t>
  </si>
  <si>
    <t>R3</t>
  </si>
  <si>
    <t>18.05.20</t>
  </si>
  <si>
    <t>P9</t>
  </si>
  <si>
    <t>21.05.20</t>
  </si>
  <si>
    <t>P10</t>
  </si>
  <si>
    <t>J-Bookkeepers</t>
  </si>
  <si>
    <t>P11</t>
  </si>
  <si>
    <t>P12</t>
  </si>
  <si>
    <t xml:space="preserve">Clerk </t>
  </si>
  <si>
    <t>P13</t>
  </si>
  <si>
    <t>P14</t>
  </si>
  <si>
    <t>Clerk - Flowers - Jean Scotford</t>
  </si>
  <si>
    <t>22.05.20</t>
  </si>
  <si>
    <t>P15</t>
  </si>
  <si>
    <t>Playsafety</t>
  </si>
  <si>
    <t>02.06.20</t>
  </si>
  <si>
    <t>P16</t>
  </si>
  <si>
    <t>P17</t>
  </si>
  <si>
    <t>P18</t>
  </si>
  <si>
    <t>P19</t>
  </si>
  <si>
    <t>P20</t>
  </si>
  <si>
    <t>Defib</t>
  </si>
  <si>
    <t>CDC Grant 2019</t>
  </si>
  <si>
    <t>Door - Survey</t>
  </si>
  <si>
    <t>Memorial Hall Roof Donations</t>
  </si>
  <si>
    <t>09.06.20</t>
  </si>
  <si>
    <t>R4</t>
  </si>
  <si>
    <t>June 2020</t>
  </si>
  <si>
    <t>19.06.20</t>
  </si>
  <si>
    <t>P21</t>
  </si>
  <si>
    <t>P22</t>
  </si>
  <si>
    <t>Clerk</t>
  </si>
  <si>
    <t>P23</t>
  </si>
  <si>
    <t>P24</t>
  </si>
  <si>
    <t>A Slater</t>
  </si>
  <si>
    <t>24.06.20</t>
  </si>
  <si>
    <t>Hansen Trees</t>
  </si>
  <si>
    <t>P25</t>
  </si>
  <si>
    <t>Carried Forward</t>
  </si>
  <si>
    <t>Credits summary</t>
  </si>
  <si>
    <t>Mem Hall Roof Donations</t>
  </si>
  <si>
    <t>Defibrillator grant</t>
  </si>
  <si>
    <t>The Door - Survey</t>
  </si>
  <si>
    <t>Grants &amp; tile sponsorship etc</t>
  </si>
  <si>
    <t>Net Transferred to reserves</t>
  </si>
  <si>
    <t>Transferred to reserves</t>
  </si>
  <si>
    <t>Built up reserves</t>
  </si>
  <si>
    <t>Current year precept</t>
  </si>
  <si>
    <t>VAT to be reclaimed</t>
  </si>
  <si>
    <t>Running total from cashbook</t>
  </si>
  <si>
    <t>Built up reserves total</t>
  </si>
  <si>
    <t>totals of precept, reserves and built up VAT</t>
  </si>
  <si>
    <t>READ ME - 
Logic applied - for reference only</t>
  </si>
  <si>
    <t>New reserves from last FY</t>
  </si>
  <si>
    <t>BUDGET</t>
  </si>
  <si>
    <t>Interest received</t>
  </si>
  <si>
    <t>Taken from Cashbook - Interest received</t>
  </si>
  <si>
    <t>Taken from Cashbook - grants received</t>
  </si>
  <si>
    <t>Total running costs</t>
  </si>
  <si>
    <t>Total of running cost sub-totals</t>
  </si>
  <si>
    <t>Total credits less running costs</t>
  </si>
  <si>
    <t>RESERVES</t>
  </si>
  <si>
    <t>Taken from built up reserves above</t>
  </si>
  <si>
    <t>Grand total spend</t>
  </si>
  <si>
    <t>Budgeted reserves</t>
  </si>
  <si>
    <t>Blue section is running costs</t>
  </si>
  <si>
    <t>Green section is credits/reserves/available spend</t>
  </si>
  <si>
    <t>Under/over available spend?</t>
  </si>
  <si>
    <t>Green if under available funds, red if over</t>
  </si>
  <si>
    <t>Income/credits</t>
  </si>
  <si>
    <t>Parish Award (historic)</t>
  </si>
  <si>
    <t>Description /service</t>
  </si>
  <si>
    <t>Paid to/from</t>
  </si>
  <si>
    <t>Bank interest</t>
  </si>
  <si>
    <t>Lloyds Bank</t>
  </si>
  <si>
    <t>Project management</t>
  </si>
  <si>
    <t>Chairman's allowance</t>
  </si>
  <si>
    <t xml:space="preserve">GeoXphere </t>
  </si>
  <si>
    <t>Parish Online mapping licence</t>
  </si>
  <si>
    <t>Cotswold District Council</t>
  </si>
  <si>
    <t>Broadband for the hall</t>
  </si>
  <si>
    <t>spare parts for playground</t>
  </si>
  <si>
    <t>Paul Nelson</t>
  </si>
  <si>
    <t>Hanging Baskets</t>
  </si>
  <si>
    <t>Avening PCC</t>
  </si>
  <si>
    <t>Churchyard Grant</t>
  </si>
  <si>
    <t>Villager Magazine grant</t>
  </si>
  <si>
    <t>Came &amp; Co</t>
  </si>
  <si>
    <t>PC Insurance</t>
  </si>
  <si>
    <t>Membership</t>
  </si>
  <si>
    <t>Website hosting &amp; maintenance</t>
  </si>
  <si>
    <t>Tree maintenance in playing field</t>
  </si>
  <si>
    <t>Total spend to date</t>
  </si>
  <si>
    <t>Playing Field Insurance</t>
  </si>
  <si>
    <t>13.07.20</t>
  </si>
  <si>
    <t>P26</t>
  </si>
  <si>
    <t>09.07.20</t>
  </si>
  <si>
    <t>R5</t>
  </si>
  <si>
    <t>16.07.20</t>
  </si>
  <si>
    <t>P27</t>
  </si>
  <si>
    <t>P28</t>
  </si>
  <si>
    <t>17.07.20</t>
  </si>
  <si>
    <t>P29</t>
  </si>
  <si>
    <t>22.07.20</t>
  </si>
  <si>
    <t>R6</t>
  </si>
  <si>
    <t>Crowdfunder</t>
  </si>
  <si>
    <t>Zipwire</t>
  </si>
  <si>
    <t>Crowdfunder VAT</t>
  </si>
  <si>
    <t>Delta</t>
  </si>
  <si>
    <t>Emergency contingency</t>
  </si>
  <si>
    <t>Totals after running costs</t>
  </si>
  <si>
    <t>Red section is Reserves</t>
  </si>
  <si>
    <t>£560 ring-fenced. Additional 2018/19 costs in website section</t>
  </si>
  <si>
    <t>Total discretionary spend</t>
  </si>
  <si>
    <t>Total of discretionary sub-totals</t>
  </si>
  <si>
    <t>Total discretionary plus running costs</t>
  </si>
  <si>
    <t>Copied c/fwd. figure from report</t>
  </si>
  <si>
    <t>sum of c/fwd. less committed</t>
  </si>
  <si>
    <t>equals c/fwd. figure less committed from K8</t>
  </si>
  <si>
    <t>General maintenance</t>
  </si>
  <si>
    <t>Not for Wreath or refreshments. Use entirely at Chairman's discretion</t>
  </si>
  <si>
    <t>Unutilised but may require when records cupboard is cleared.</t>
  </si>
  <si>
    <t>C/fwd. reserves</t>
  </si>
  <si>
    <t>Unallocated</t>
  </si>
  <si>
    <t>Alllocated from previous year</t>
  </si>
  <si>
    <t>Orange section is Discretionary/unallocated</t>
  </si>
  <si>
    <t>Zipwire Crowdfunder</t>
  </si>
  <si>
    <t>C/Fwd.</t>
  </si>
  <si>
    <t>Unallocated spend</t>
  </si>
  <si>
    <t>Bal b/fwd.</t>
  </si>
  <si>
    <t>Clerk Salary</t>
  </si>
  <si>
    <t>PlusNet</t>
  </si>
  <si>
    <t>c/fwd.</t>
  </si>
  <si>
    <t>Bal c/fwd.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</si>
</sst>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7" formatCode="&quot;£&quot;#,##0.00;\-&quot;£&quot;#,##0.00"/>
    <numFmt numFmtId="8" formatCode="&quot;£&quot;#,##0.00;[Red]\-&quot;£&quot;#,##0.00"/>
    <numFmt numFmtId="41" formatCode="_-* #,##0_-;\-* #,##0_-;_-* &quot;-&quot;_-;_-@_-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&quot;£&quot;#,##0.00"/>
    <numFmt numFmtId="165" formatCode="d/m/yy;@"/>
    <numFmt numFmtId="166" formatCode="d\-mmm"/>
    <numFmt numFmtId="167" formatCode="d\-mmm\-yy"/>
    <numFmt numFmtId="168" formatCode="#,##0.00_ ;\-#,##0.00\ "/>
    <numFmt numFmtId="169" formatCode="_-* #,##0_-;\-* #,##0_-;_-* &quot;-&quot;??_-;_-@_-"/>
    <numFmt numFmtId="170" formatCode="d\.m\.yy;@"/>
    <numFmt numFmtId="171" formatCode="[$-F800]dddd\,\ mmmm\ dd\,\ yyyy"/>
  </numFmts>
  <fonts count="35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1"/>
      <color theme="1"/>
      <name val="Calibri"/>
      <family val="2"/>
      <scheme val="minor"/>
    </font>
    <font>
      <sz val="9"/>
      <color theme="1"/>
      <name val="Century Gothic"/>
      <family val="2"/>
    </font>
    <font>
      <sz val="10"/>
      <color theme="1"/>
      <name val="Century Gothic"/>
      <family val="2"/>
    </font>
    <font>
      <b/>
      <sz val="9"/>
      <color theme="1"/>
      <name val="Century Gothic"/>
      <family val="2"/>
    </font>
    <font>
      <sz val="9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rgb="FF003366"/>
      <name val="Calibri"/>
      <family val="2"/>
      <scheme val="minor"/>
    </font>
    <font>
      <sz val="10"/>
      <color indexed="56"/>
      <name val="Calibri"/>
      <family val="2"/>
      <scheme val="minor"/>
    </font>
    <font>
      <b/>
      <sz val="10"/>
      <color indexed="56"/>
      <name val="Calibri"/>
      <family val="2"/>
      <scheme val="minor"/>
    </font>
    <font>
      <b/>
      <sz val="10"/>
      <color rgb="FF003366"/>
      <name val="Calibri"/>
      <family val="2"/>
      <scheme val="minor"/>
    </font>
    <font>
      <b/>
      <sz val="9"/>
      <name val="Calibri"/>
      <family val="2"/>
      <scheme val="minor"/>
    </font>
    <font>
      <b/>
      <sz val="10"/>
      <name val="Calibri"/>
      <family val="2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sz val="10"/>
      <name val="Calibri"/>
      <family val="2"/>
    </font>
    <font>
      <b/>
      <sz val="10"/>
      <color theme="0"/>
      <name val="Calibri"/>
      <family val="2"/>
    </font>
    <font>
      <b/>
      <i/>
      <sz val="10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b/>
      <i/>
      <sz val="11"/>
      <name val="Calibri"/>
      <family val="2"/>
    </font>
    <font>
      <sz val="8"/>
      <name val="Calibri"/>
      <family val="2"/>
      <scheme val="minor"/>
    </font>
    <font>
      <b/>
      <sz val="10"/>
      <color theme="3"/>
      <name val="Calibri"/>
      <family val="2"/>
    </font>
    <font>
      <b/>
      <sz val="16"/>
      <color theme="0"/>
      <name val="Calibri"/>
      <family val="2"/>
    </font>
    <font>
      <b/>
      <i/>
      <sz val="10"/>
      <color theme="1"/>
      <name val="Calibri"/>
      <family val="2"/>
    </font>
  </fonts>
  <fills count="28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CFFFF"/>
        <bgColor indexed="64"/>
      </patternFill>
    </fill>
  </fills>
  <borders count="1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theme="0" tint="-0.34998626667073579"/>
      </left>
      <right style="hair">
        <color theme="0" tint="-0.34998626667073579"/>
      </right>
      <top style="hair">
        <color theme="0" tint="-0.34998626667073579"/>
      </top>
      <bottom style="hair">
        <color theme="0" tint="-0.34998626667073579"/>
      </bottom>
      <diagonal/>
    </border>
    <border>
      <left style="hair">
        <color theme="0" tint="-0.34998626667073579"/>
      </left>
      <right style="hair">
        <color theme="0" tint="-0.34998626667073579"/>
      </right>
      <top style="hair">
        <color theme="0" tint="-0.34998626667073579"/>
      </top>
      <bottom style="medium">
        <color indexed="64"/>
      </bottom>
      <diagonal/>
    </border>
    <border>
      <left style="hair">
        <color theme="0" tint="-0.34998626667073579"/>
      </left>
      <right style="hair">
        <color theme="0" tint="-0.34998626667073579"/>
      </right>
      <top/>
      <bottom style="hair">
        <color theme="0" tint="-0.34998626667073579"/>
      </bottom>
      <diagonal/>
    </border>
    <border>
      <left style="hair">
        <color theme="0" tint="-0.34998626667073579"/>
      </left>
      <right style="hair">
        <color theme="0" tint="-0.34998626667073579"/>
      </right>
      <top style="hair">
        <color theme="0" tint="-0.34998626667073579"/>
      </top>
      <bottom/>
      <diagonal/>
    </border>
    <border>
      <left style="hair">
        <color theme="0" tint="-0.34998626667073579"/>
      </left>
      <right style="hair">
        <color theme="0" tint="-0.34998626667073579"/>
      </right>
      <top style="thin">
        <color indexed="64"/>
      </top>
      <bottom style="double">
        <color indexed="64"/>
      </bottom>
      <diagonal/>
    </border>
    <border>
      <left/>
      <right style="hair">
        <color theme="0" tint="-0.34998626667073579"/>
      </right>
      <top style="hair">
        <color theme="0" tint="-0.34998626667073579"/>
      </top>
      <bottom style="hair">
        <color theme="0" tint="-0.34998626667073579"/>
      </bottom>
      <diagonal/>
    </border>
    <border>
      <left/>
      <right style="hair">
        <color theme="0" tint="-0.34998626667073579"/>
      </right>
      <top style="hair">
        <color theme="0" tint="-0.34998626667073579"/>
      </top>
      <bottom style="medium">
        <color indexed="64"/>
      </bottom>
      <diagonal/>
    </border>
    <border>
      <left/>
      <right style="hair">
        <color theme="0" tint="-0.34998626667073579"/>
      </right>
      <top/>
      <bottom style="hair">
        <color theme="0" tint="-0.34998626667073579"/>
      </bottom>
      <diagonal/>
    </border>
    <border>
      <left/>
      <right style="hair">
        <color theme="0" tint="-0.34998626667073579"/>
      </right>
      <top style="hair">
        <color theme="0" tint="-0.34998626667073579"/>
      </top>
      <bottom/>
      <diagonal/>
    </border>
    <border>
      <left/>
      <right style="hair">
        <color theme="0" tint="-0.34998626667073579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0.24994659260841701"/>
      </top>
      <bottom style="hair">
        <color theme="0" tint="-0.24994659260841701"/>
      </bottom>
      <diagonal/>
    </border>
    <border>
      <left style="hair">
        <color theme="0" tint="-0.24994659260841701"/>
      </left>
      <right style="hair">
        <color theme="0" tint="-0.24994659260841701"/>
      </right>
      <top style="thin">
        <color indexed="64"/>
      </top>
      <bottom style="double">
        <color indexed="64"/>
      </bottom>
      <diagonal/>
    </border>
    <border>
      <left style="hair">
        <color theme="0" tint="-0.24994659260841701"/>
      </left>
      <right style="hair">
        <color theme="0" tint="-0.24994659260841701"/>
      </right>
      <top/>
      <bottom style="hair">
        <color theme="0" tint="-0.24994659260841701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0.24994659260841701"/>
      </top>
      <bottom style="double">
        <color indexed="64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0.24994659260841701"/>
      </top>
      <bottom/>
      <diagonal/>
    </border>
    <border>
      <left style="hair">
        <color theme="0" tint="-0.34998626667073579"/>
      </left>
      <right style="hair">
        <color theme="0" tint="-0.34998626667073579"/>
      </right>
      <top/>
      <bottom/>
      <diagonal/>
    </border>
    <border>
      <left style="hair">
        <color theme="0" tint="-0.34998626667073579"/>
      </left>
      <right style="hair">
        <color theme="0" tint="-0.34998626667073579"/>
      </right>
      <top style="thick">
        <color auto="1"/>
      </top>
      <bottom style="thin">
        <color auto="1"/>
      </bottom>
      <diagonal/>
    </border>
    <border>
      <left style="hair">
        <color theme="0" tint="-0.34998626667073579"/>
      </left>
      <right style="hair">
        <color theme="0" tint="-0.34998626667073579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hair">
        <color theme="0" tint="-0.34998626667073579"/>
      </right>
      <top style="medium">
        <color auto="1"/>
      </top>
      <bottom style="thin">
        <color auto="1"/>
      </bottom>
      <diagonal/>
    </border>
    <border>
      <left style="hair">
        <color theme="0" tint="-0.34998626667073579"/>
      </left>
      <right/>
      <top style="medium">
        <color auto="1"/>
      </top>
      <bottom style="thin">
        <color auto="1"/>
      </bottom>
      <diagonal/>
    </border>
    <border>
      <left style="thick">
        <color rgb="FFFF0000"/>
      </left>
      <right/>
      <top style="thick">
        <color rgb="FFFF0000"/>
      </top>
      <bottom style="thin">
        <color auto="1"/>
      </bottom>
      <diagonal/>
    </border>
    <border>
      <left/>
      <right/>
      <top style="thick">
        <color rgb="FFFF0000"/>
      </top>
      <bottom/>
      <diagonal/>
    </border>
    <border>
      <left/>
      <right/>
      <top style="thick">
        <color rgb="FFFF0000"/>
      </top>
      <bottom style="thin">
        <color auto="1"/>
      </bottom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/>
      <top/>
      <bottom/>
      <diagonal/>
    </border>
    <border>
      <left/>
      <right style="thick">
        <color rgb="FFFF0000"/>
      </right>
      <top/>
      <bottom/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 style="thick">
        <color rgb="FF0070C0"/>
      </left>
      <right/>
      <top style="thick">
        <color rgb="FF0070C0"/>
      </top>
      <bottom/>
      <diagonal/>
    </border>
    <border>
      <left style="hair">
        <color theme="0" tint="-0.24994659260841701"/>
      </left>
      <right style="hair">
        <color theme="0" tint="-0.24994659260841701"/>
      </right>
      <top style="thick">
        <color rgb="FF0070C0"/>
      </top>
      <bottom style="hair">
        <color theme="0" tint="-0.24994659260841701"/>
      </bottom>
      <diagonal/>
    </border>
    <border>
      <left style="hair">
        <color theme="0" tint="-0.24994659260841701"/>
      </left>
      <right style="thick">
        <color rgb="FF0070C0"/>
      </right>
      <top style="thick">
        <color rgb="FF0070C0"/>
      </top>
      <bottom style="hair">
        <color theme="0" tint="-0.24994659260841701"/>
      </bottom>
      <diagonal/>
    </border>
    <border>
      <left style="thick">
        <color rgb="FF0070C0"/>
      </left>
      <right/>
      <top/>
      <bottom/>
      <diagonal/>
    </border>
    <border>
      <left style="hair">
        <color theme="0" tint="-0.34998626667073579"/>
      </left>
      <right style="thick">
        <color rgb="FF0070C0"/>
      </right>
      <top/>
      <bottom style="hair">
        <color theme="0" tint="-0.34998626667073579"/>
      </bottom>
      <diagonal/>
    </border>
    <border>
      <left style="hair">
        <color theme="0" tint="-0.34998626667073579"/>
      </left>
      <right style="thick">
        <color rgb="FF0070C0"/>
      </right>
      <top style="hair">
        <color theme="0" tint="-0.34998626667073579"/>
      </top>
      <bottom style="hair">
        <color theme="0" tint="-0.34998626667073579"/>
      </bottom>
      <diagonal/>
    </border>
    <border>
      <left style="hair">
        <color theme="0" tint="-0.34998626667073579"/>
      </left>
      <right style="thick">
        <color rgb="FF0070C0"/>
      </right>
      <top style="hair">
        <color theme="0" tint="-0.34998626667073579"/>
      </top>
      <bottom/>
      <diagonal/>
    </border>
    <border>
      <left style="hair">
        <color theme="0" tint="-0.34998626667073579"/>
      </left>
      <right style="thick">
        <color rgb="FF0070C0"/>
      </right>
      <top style="thin">
        <color indexed="64"/>
      </top>
      <bottom style="double">
        <color indexed="64"/>
      </bottom>
      <diagonal/>
    </border>
    <border>
      <left style="thick">
        <color rgb="FF0070C0"/>
      </left>
      <right/>
      <top/>
      <bottom style="thick">
        <color rgb="FF0070C0"/>
      </bottom>
      <diagonal/>
    </border>
    <border>
      <left/>
      <right/>
      <top/>
      <bottom style="thick">
        <color rgb="FF0070C0"/>
      </bottom>
      <diagonal/>
    </border>
    <border>
      <left/>
      <right style="thick">
        <color rgb="FF0070C0"/>
      </right>
      <top/>
      <bottom style="thick">
        <color rgb="FF0070C0"/>
      </bottom>
      <diagonal/>
    </border>
    <border>
      <left style="thick">
        <color rgb="FF92D050"/>
      </left>
      <right style="hair">
        <color theme="0" tint="-0.24994659260841701"/>
      </right>
      <top style="thick">
        <color rgb="FF92D050"/>
      </top>
      <bottom style="hair">
        <color theme="0" tint="-0.24994659260841701"/>
      </bottom>
      <diagonal/>
    </border>
    <border>
      <left style="hair">
        <color theme="0" tint="-0.24994659260841701"/>
      </left>
      <right style="hair">
        <color theme="0" tint="-0.24994659260841701"/>
      </right>
      <top style="thick">
        <color rgb="FF92D050"/>
      </top>
      <bottom style="hair">
        <color theme="0" tint="-0.24994659260841701"/>
      </bottom>
      <diagonal/>
    </border>
    <border>
      <left style="hair">
        <color theme="0" tint="-0.24994659260841701"/>
      </left>
      <right style="hair">
        <color theme="0" tint="-0.24994659260841701"/>
      </right>
      <top style="thick">
        <color rgb="FF92D050"/>
      </top>
      <bottom style="thin">
        <color indexed="64"/>
      </bottom>
      <diagonal/>
    </border>
    <border>
      <left style="hair">
        <color theme="0" tint="-0.24994659260841701"/>
      </left>
      <right style="thick">
        <color rgb="FF92D050"/>
      </right>
      <top style="thick">
        <color rgb="FF92D050"/>
      </top>
      <bottom style="hair">
        <color theme="0" tint="-0.24994659260841701"/>
      </bottom>
      <diagonal/>
    </border>
    <border>
      <left style="thick">
        <color rgb="FF92D050"/>
      </left>
      <right style="hair">
        <color theme="0" tint="-0.24994659260841701"/>
      </right>
      <top style="hair">
        <color theme="0" tint="-0.24994659260841701"/>
      </top>
      <bottom style="hair">
        <color theme="0" tint="-0.24994659260841701"/>
      </bottom>
      <diagonal/>
    </border>
    <border>
      <left style="hair">
        <color theme="0" tint="-0.24994659260841701"/>
      </left>
      <right style="thick">
        <color rgb="FF92D050"/>
      </right>
      <top style="hair">
        <color theme="0" tint="-0.24994659260841701"/>
      </top>
      <bottom style="hair">
        <color theme="0" tint="-0.24994659260841701"/>
      </bottom>
      <diagonal/>
    </border>
    <border>
      <left/>
      <right style="thick">
        <color rgb="FF92D050"/>
      </right>
      <top/>
      <bottom/>
      <diagonal/>
    </border>
    <border>
      <left style="thick">
        <color rgb="FF92D050"/>
      </left>
      <right/>
      <top/>
      <bottom/>
      <diagonal/>
    </border>
    <border>
      <left style="hair">
        <color theme="0" tint="-0.34998626667073579"/>
      </left>
      <right style="thick">
        <color rgb="FF92D050"/>
      </right>
      <top style="hair">
        <color theme="0" tint="-0.34998626667073579"/>
      </top>
      <bottom style="hair">
        <color theme="0" tint="-0.34998626667073579"/>
      </bottom>
      <diagonal/>
    </border>
    <border>
      <left style="thick">
        <color rgb="FF92D050"/>
      </left>
      <right style="hair">
        <color theme="0" tint="-0.24994659260841701"/>
      </right>
      <top style="hair">
        <color theme="0" tint="-0.24994659260841701"/>
      </top>
      <bottom style="thick">
        <color rgb="FF92D050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0.24994659260841701"/>
      </top>
      <bottom style="thick">
        <color rgb="FF92D050"/>
      </bottom>
      <diagonal/>
    </border>
    <border>
      <left style="hair">
        <color theme="0" tint="-0.24994659260841701"/>
      </left>
      <right style="hair">
        <color theme="0" tint="-0.24994659260841701"/>
      </right>
      <top/>
      <bottom style="thick">
        <color rgb="FF92D050"/>
      </bottom>
      <diagonal/>
    </border>
    <border>
      <left style="hair">
        <color theme="0" tint="-0.24994659260841701"/>
      </left>
      <right style="thick">
        <color rgb="FF92D050"/>
      </right>
      <top style="hair">
        <color theme="0" tint="-0.24994659260841701"/>
      </top>
      <bottom style="thick">
        <color rgb="FF92D05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0070C0"/>
      </left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/>
      <right/>
      <top style="medium">
        <color rgb="FF0070C0"/>
      </top>
      <bottom/>
      <diagonal/>
    </border>
    <border>
      <left style="medium">
        <color rgb="FF92D050"/>
      </left>
      <right style="medium">
        <color rgb="FF92D050"/>
      </right>
      <top style="medium">
        <color rgb="FF92D050"/>
      </top>
      <bottom style="medium">
        <color rgb="FF92D050"/>
      </bottom>
      <diagonal/>
    </border>
    <border>
      <left style="medium">
        <color rgb="FF0070C0"/>
      </left>
      <right style="thin">
        <color indexed="64"/>
      </right>
      <top style="medium">
        <color rgb="FF0070C0"/>
      </top>
      <bottom style="hair">
        <color theme="0" tint="-0.34998626667073579"/>
      </bottom>
      <diagonal/>
    </border>
    <border>
      <left style="thin">
        <color indexed="64"/>
      </left>
      <right style="thin">
        <color indexed="64"/>
      </right>
      <top style="medium">
        <color rgb="FF0070C0"/>
      </top>
      <bottom style="hair">
        <color theme="0" tint="-0.34998626667073579"/>
      </bottom>
      <diagonal/>
    </border>
    <border>
      <left/>
      <right/>
      <top style="medium">
        <color rgb="FF0070C0"/>
      </top>
      <bottom style="hair">
        <color theme="0" tint="-0.34998626667073579"/>
      </bottom>
      <diagonal/>
    </border>
    <border>
      <left style="thin">
        <color indexed="64"/>
      </left>
      <right/>
      <top style="medium">
        <color rgb="FF0070C0"/>
      </top>
      <bottom style="hair">
        <color theme="0" tint="-0.34998626667073579"/>
      </bottom>
      <diagonal/>
    </border>
    <border>
      <left/>
      <right style="medium">
        <color rgb="FF0070C0"/>
      </right>
      <top style="medium">
        <color rgb="FF0070C0"/>
      </top>
      <bottom style="hair">
        <color theme="0" tint="-0.34998626667073579"/>
      </bottom>
      <diagonal/>
    </border>
    <border>
      <left style="medium">
        <color rgb="FF0070C0"/>
      </left>
      <right style="thin">
        <color indexed="64"/>
      </right>
      <top style="hair">
        <color theme="0" tint="-0.34998626667073579"/>
      </top>
      <bottom style="hair">
        <color theme="0" tint="-0.34998626667073579"/>
      </bottom>
      <diagonal/>
    </border>
    <border>
      <left style="thin">
        <color indexed="64"/>
      </left>
      <right style="thin">
        <color indexed="64"/>
      </right>
      <top style="hair">
        <color theme="0" tint="-0.34998626667073579"/>
      </top>
      <bottom style="hair">
        <color theme="0" tint="-0.34998626667073579"/>
      </bottom>
      <diagonal/>
    </border>
    <border>
      <left/>
      <right/>
      <top style="hair">
        <color theme="0" tint="-0.34998626667073579"/>
      </top>
      <bottom style="hair">
        <color theme="0" tint="-0.34998626667073579"/>
      </bottom>
      <diagonal/>
    </border>
    <border>
      <left style="thin">
        <color indexed="64"/>
      </left>
      <right/>
      <top style="hair">
        <color theme="0" tint="-0.34998626667073579"/>
      </top>
      <bottom style="hair">
        <color theme="0" tint="-0.34998626667073579"/>
      </bottom>
      <diagonal/>
    </border>
    <border>
      <left/>
      <right style="medium">
        <color rgb="FF0070C0"/>
      </right>
      <top style="hair">
        <color theme="0" tint="-0.34998626667073579"/>
      </top>
      <bottom style="hair">
        <color theme="0" tint="-0.34998626667073579"/>
      </bottom>
      <diagonal/>
    </border>
    <border>
      <left style="medium">
        <color rgb="FF0070C0"/>
      </left>
      <right style="thin">
        <color indexed="64"/>
      </right>
      <top style="hair">
        <color theme="0" tint="-0.34998626667073579"/>
      </top>
      <bottom style="medium">
        <color rgb="FF0070C0"/>
      </bottom>
      <diagonal/>
    </border>
    <border>
      <left style="thin">
        <color indexed="64"/>
      </left>
      <right style="thin">
        <color indexed="64"/>
      </right>
      <top style="hair">
        <color theme="0" tint="-0.34998626667073579"/>
      </top>
      <bottom style="medium">
        <color rgb="FF0070C0"/>
      </bottom>
      <diagonal/>
    </border>
    <border>
      <left/>
      <right/>
      <top style="hair">
        <color theme="0" tint="-0.34998626667073579"/>
      </top>
      <bottom style="medium">
        <color rgb="FF0070C0"/>
      </bottom>
      <diagonal/>
    </border>
    <border>
      <left style="thin">
        <color indexed="64"/>
      </left>
      <right/>
      <top style="hair">
        <color theme="0" tint="-0.34998626667073579"/>
      </top>
      <bottom style="medium">
        <color rgb="FF0070C0"/>
      </bottom>
      <diagonal/>
    </border>
    <border>
      <left/>
      <right style="medium">
        <color rgb="FF0070C0"/>
      </right>
      <top style="hair">
        <color theme="0" tint="-0.34998626667073579"/>
      </top>
      <bottom style="medium">
        <color rgb="FF0070C0"/>
      </bottom>
      <diagonal/>
    </border>
    <border>
      <left style="thin">
        <color auto="1"/>
      </left>
      <right style="thin">
        <color auto="1"/>
      </right>
      <top style="medium">
        <color rgb="FF0070C0"/>
      </top>
      <bottom/>
      <diagonal/>
    </border>
    <border>
      <left style="thin">
        <color auto="1"/>
      </left>
      <right/>
      <top style="medium">
        <color rgb="FF0070C0"/>
      </top>
      <bottom/>
      <diagonal/>
    </border>
    <border>
      <left/>
      <right style="thin">
        <color indexed="64"/>
      </right>
      <top style="medium">
        <color rgb="FF0070C0"/>
      </top>
      <bottom/>
      <diagonal/>
    </border>
    <border>
      <left style="hair">
        <color theme="0" tint="-0.24994659260841701"/>
      </left>
      <right/>
      <top style="thick">
        <color rgb="FF92D050"/>
      </top>
      <bottom/>
      <diagonal/>
    </border>
    <border>
      <left style="hair">
        <color theme="0" tint="-0.24994659260841701"/>
      </left>
      <right/>
      <top/>
      <bottom style="hair">
        <color theme="0" tint="-0.24994659260841701"/>
      </bottom>
      <diagonal/>
    </border>
    <border>
      <left style="hair">
        <color theme="0" tint="-0.24994659260841701"/>
      </left>
      <right/>
      <top style="hair">
        <color theme="0" tint="-0.24994659260841701"/>
      </top>
      <bottom style="hair">
        <color theme="0" tint="-0.24994659260841701"/>
      </bottom>
      <diagonal/>
    </border>
    <border>
      <left style="hair">
        <color theme="0" tint="-0.24994659260841701"/>
      </left>
      <right/>
      <top style="hair">
        <color theme="0" tint="-0.24994659260841701"/>
      </top>
      <bottom/>
      <diagonal/>
    </border>
    <border>
      <left style="hair">
        <color theme="0" tint="-0.34998626667073579"/>
      </left>
      <right/>
      <top style="hair">
        <color theme="0" tint="-0.34998626667073579"/>
      </top>
      <bottom style="hair">
        <color theme="0" tint="-0.34998626667073579"/>
      </bottom>
      <diagonal/>
    </border>
    <border>
      <left style="hair">
        <color theme="0" tint="-0.34998626667073579"/>
      </left>
      <right/>
      <top style="hair">
        <color theme="0" tint="-0.34998626667073579"/>
      </top>
      <bottom/>
      <diagonal/>
    </border>
    <border>
      <left style="hair">
        <color theme="0" tint="-0.24994659260841701"/>
      </left>
      <right/>
      <top/>
      <bottom/>
      <diagonal/>
    </border>
    <border>
      <left style="hair">
        <color theme="0" tint="-0.24994659260841701"/>
      </left>
      <right/>
      <top/>
      <bottom style="thick">
        <color rgb="FF92D050"/>
      </bottom>
      <diagonal/>
    </border>
    <border>
      <left style="thick">
        <color theme="9" tint="-0.24994659260841701"/>
      </left>
      <right/>
      <top style="thick">
        <color theme="9" tint="-0.24994659260841701"/>
      </top>
      <bottom/>
      <diagonal/>
    </border>
    <border>
      <left style="hair">
        <color theme="0" tint="-0.34998626667073579"/>
      </left>
      <right style="hair">
        <color theme="0" tint="-0.34998626667073579"/>
      </right>
      <top style="thick">
        <color theme="9" tint="-0.24994659260841701"/>
      </top>
      <bottom style="hair">
        <color theme="0" tint="-0.34998626667073579"/>
      </bottom>
      <diagonal/>
    </border>
    <border>
      <left/>
      <right style="hair">
        <color theme="0" tint="-0.34998626667073579"/>
      </right>
      <top style="thick">
        <color theme="9" tint="-0.24994659260841701"/>
      </top>
      <bottom style="hair">
        <color theme="0" tint="-0.34998626667073579"/>
      </bottom>
      <diagonal/>
    </border>
    <border>
      <left style="hair">
        <color theme="0" tint="-0.34998626667073579"/>
      </left>
      <right style="thick">
        <color theme="9" tint="-0.24994659260841701"/>
      </right>
      <top style="thick">
        <color theme="9" tint="-0.24994659260841701"/>
      </top>
      <bottom style="hair">
        <color theme="0" tint="-0.34998626667073579"/>
      </bottom>
      <diagonal/>
    </border>
    <border>
      <left style="thick">
        <color theme="9" tint="-0.24994659260841701"/>
      </left>
      <right/>
      <top/>
      <bottom/>
      <diagonal/>
    </border>
    <border>
      <left style="hair">
        <color theme="0" tint="-0.34998626667073579"/>
      </left>
      <right style="thick">
        <color theme="9" tint="-0.24994659260841701"/>
      </right>
      <top style="hair">
        <color theme="0" tint="-0.34998626667073579"/>
      </top>
      <bottom style="hair">
        <color theme="0" tint="-0.34998626667073579"/>
      </bottom>
      <diagonal/>
    </border>
    <border>
      <left style="hair">
        <color theme="0" tint="-0.34998626667073579"/>
      </left>
      <right style="thick">
        <color theme="9" tint="-0.24994659260841701"/>
      </right>
      <top style="hair">
        <color theme="0" tint="-0.34998626667073579"/>
      </top>
      <bottom/>
      <diagonal/>
    </border>
    <border>
      <left/>
      <right style="thick">
        <color theme="9" tint="-0.24994659260841701"/>
      </right>
      <top/>
      <bottom/>
      <diagonal/>
    </border>
    <border>
      <left style="thick">
        <color theme="9" tint="-0.24994659260841701"/>
      </left>
      <right/>
      <top/>
      <bottom style="thick">
        <color theme="9" tint="-0.24994659260841701"/>
      </bottom>
      <diagonal/>
    </border>
    <border>
      <left/>
      <right/>
      <top/>
      <bottom style="thick">
        <color theme="9" tint="-0.24994659260841701"/>
      </bottom>
      <diagonal/>
    </border>
    <border>
      <left/>
      <right style="thick">
        <color theme="9" tint="-0.24994659260841701"/>
      </right>
      <top/>
      <bottom style="thick">
        <color theme="9" tint="-0.24994659260841701"/>
      </bottom>
      <diagonal/>
    </border>
    <border>
      <left style="medium">
        <color theme="9" tint="-0.24994659260841701"/>
      </left>
      <right style="medium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 style="medium">
        <color theme="9" tint="-0.24994659260841701"/>
      </left>
      <right style="thin">
        <color indexed="64"/>
      </right>
      <top style="medium">
        <color theme="9" tint="-0.24994659260841701"/>
      </top>
      <bottom style="hair">
        <color theme="0" tint="-0.34998626667073579"/>
      </bottom>
      <diagonal/>
    </border>
    <border>
      <left/>
      <right/>
      <top style="medium">
        <color theme="9" tint="-0.24994659260841701"/>
      </top>
      <bottom style="hair">
        <color theme="0" tint="-0.34998626667073579"/>
      </bottom>
      <diagonal/>
    </border>
    <border>
      <left style="thin">
        <color indexed="64"/>
      </left>
      <right style="thin">
        <color indexed="64"/>
      </right>
      <top style="medium">
        <color theme="9" tint="-0.24994659260841701"/>
      </top>
      <bottom style="hair">
        <color theme="0" tint="-0.34998626667073579"/>
      </bottom>
      <diagonal/>
    </border>
    <border>
      <left style="thin">
        <color indexed="64"/>
      </left>
      <right/>
      <top style="medium">
        <color theme="9" tint="-0.24994659260841701"/>
      </top>
      <bottom style="hair">
        <color theme="0" tint="-0.34998626667073579"/>
      </bottom>
      <diagonal/>
    </border>
    <border>
      <left/>
      <right style="medium">
        <color theme="9" tint="-0.24994659260841701"/>
      </right>
      <top style="medium">
        <color theme="9" tint="-0.24994659260841701"/>
      </top>
      <bottom style="hair">
        <color theme="0" tint="-0.34998626667073579"/>
      </bottom>
      <diagonal/>
    </border>
    <border>
      <left style="medium">
        <color theme="9" tint="-0.24994659260841701"/>
      </left>
      <right style="thin">
        <color indexed="64"/>
      </right>
      <top style="hair">
        <color theme="0" tint="-0.34998626667073579"/>
      </top>
      <bottom style="medium">
        <color theme="9" tint="-0.24994659260841701"/>
      </bottom>
      <diagonal/>
    </border>
    <border>
      <left style="thin">
        <color indexed="64"/>
      </left>
      <right style="thin">
        <color indexed="64"/>
      </right>
      <top style="hair">
        <color theme="0" tint="-0.34998626667073579"/>
      </top>
      <bottom style="medium">
        <color theme="9" tint="-0.24994659260841701"/>
      </bottom>
      <diagonal/>
    </border>
    <border>
      <left/>
      <right/>
      <top style="hair">
        <color theme="0" tint="-0.34998626667073579"/>
      </top>
      <bottom style="medium">
        <color theme="9" tint="-0.24994659260841701"/>
      </bottom>
      <diagonal/>
    </border>
    <border>
      <left style="thin">
        <color indexed="64"/>
      </left>
      <right/>
      <top style="hair">
        <color theme="0" tint="-0.34998626667073579"/>
      </top>
      <bottom style="medium">
        <color theme="9" tint="-0.24994659260841701"/>
      </bottom>
      <diagonal/>
    </border>
    <border>
      <left/>
      <right style="medium">
        <color theme="9" tint="-0.24994659260841701"/>
      </right>
      <top style="hair">
        <color theme="0" tint="-0.34998626667073579"/>
      </top>
      <bottom style="medium">
        <color theme="9" tint="-0.24994659260841701"/>
      </bottom>
      <diagonal/>
    </border>
    <border>
      <left style="thick">
        <color rgb="FFFF0000"/>
      </left>
      <right style="thin">
        <color indexed="64"/>
      </right>
      <top style="thick">
        <color rgb="FFFF0000"/>
      </top>
      <bottom style="thick">
        <color rgb="FFFF0000"/>
      </bottom>
      <diagonal/>
    </border>
    <border>
      <left style="thin">
        <color indexed="64"/>
      </left>
      <right style="thin">
        <color indexed="64"/>
      </right>
      <top style="thick">
        <color rgb="FFFF0000"/>
      </top>
      <bottom style="thick">
        <color rgb="FFFF0000"/>
      </bottom>
      <diagonal/>
    </border>
    <border>
      <left style="thin">
        <color indexed="64"/>
      </left>
      <right/>
      <top style="thick">
        <color rgb="FFFF0000"/>
      </top>
      <bottom style="thick">
        <color rgb="FFFF0000"/>
      </bottom>
      <diagonal/>
    </border>
    <border>
      <left/>
      <right/>
      <top style="thick">
        <color rgb="FFFF0000"/>
      </top>
      <bottom style="thick">
        <color rgb="FFFF0000"/>
      </bottom>
      <diagonal/>
    </border>
    <border>
      <left/>
      <right style="thick">
        <color rgb="FFFF0000"/>
      </right>
      <top style="thick">
        <color rgb="FFFF0000"/>
      </top>
      <bottom style="thick">
        <color rgb="FFFF0000"/>
      </bottom>
      <diagonal/>
    </border>
  </borders>
  <cellStyleXfs count="9">
    <xf numFmtId="0" fontId="0" fillId="0" borderId="0"/>
    <xf numFmtId="43" fontId="2" fillId="0" borderId="0" applyFont="0" applyFill="0" applyBorder="0" applyAlignment="0" applyProtection="0"/>
    <xf numFmtId="0" fontId="5" fillId="0" borderId="0"/>
    <xf numFmtId="0" fontId="2" fillId="0" borderId="0"/>
    <xf numFmtId="0" fontId="8" fillId="0" borderId="0"/>
    <xf numFmtId="0" fontId="8" fillId="0" borderId="0"/>
    <xf numFmtId="0" fontId="4" fillId="0" borderId="0"/>
    <xf numFmtId="0" fontId="1" fillId="0" borderId="0"/>
    <xf numFmtId="44" fontId="2" fillId="0" borderId="0" applyFont="0" applyFill="0" applyBorder="0" applyAlignment="0" applyProtection="0"/>
  </cellStyleXfs>
  <cellXfs count="515">
    <xf numFmtId="0" fontId="0" fillId="0" borderId="0" xfId="0"/>
    <xf numFmtId="164" fontId="0" fillId="0" borderId="0" xfId="0" applyNumberFormat="1"/>
    <xf numFmtId="165" fontId="3" fillId="2" borderId="0" xfId="0" applyNumberFormat="1" applyFont="1" applyFill="1"/>
    <xf numFmtId="14" fontId="0" fillId="0" borderId="0" xfId="0" applyNumberFormat="1"/>
    <xf numFmtId="4" fontId="0" fillId="0" borderId="0" xfId="0" applyNumberFormat="1"/>
    <xf numFmtId="0" fontId="7" fillId="0" borderId="0" xfId="0" applyFont="1"/>
    <xf numFmtId="0" fontId="9" fillId="0" borderId="0" xfId="0" applyFont="1"/>
    <xf numFmtId="0" fontId="9" fillId="0" borderId="0" xfId="0" applyFont="1" applyAlignment="1">
      <alignment wrapText="1"/>
    </xf>
    <xf numFmtId="0" fontId="3" fillId="10" borderId="1" xfId="0" applyFont="1" applyFill="1" applyBorder="1" applyAlignment="1">
      <alignment wrapText="1"/>
    </xf>
    <xf numFmtId="2" fontId="0" fillId="0" borderId="0" xfId="0" applyNumberFormat="1"/>
    <xf numFmtId="0" fontId="2" fillId="0" borderId="0" xfId="0" applyFont="1"/>
    <xf numFmtId="169" fontId="9" fillId="0" borderId="0" xfId="1" applyNumberFormat="1" applyFont="1"/>
    <xf numFmtId="1" fontId="9" fillId="0" borderId="0" xfId="1" applyNumberFormat="1" applyFont="1"/>
    <xf numFmtId="169" fontId="11" fillId="0" borderId="21" xfId="1" applyNumberFormat="1" applyFont="1" applyBorder="1"/>
    <xf numFmtId="0" fontId="10" fillId="0" borderId="0" xfId="0" applyFont="1"/>
    <xf numFmtId="0" fontId="9" fillId="0" borderId="0" xfId="0" applyFont="1" applyAlignment="1">
      <alignment vertical="top" wrapText="1"/>
    </xf>
    <xf numFmtId="169" fontId="9" fillId="0" borderId="0" xfId="1" applyNumberFormat="1" applyFont="1" applyAlignment="1">
      <alignment vertical="top"/>
    </xf>
    <xf numFmtId="14" fontId="3" fillId="10" borderId="1" xfId="0" applyNumberFormat="1" applyFont="1" applyFill="1" applyBorder="1" applyAlignment="1">
      <alignment vertical="center" wrapText="1"/>
    </xf>
    <xf numFmtId="0" fontId="3" fillId="0" borderId="0" xfId="0" applyFont="1" applyAlignment="1">
      <alignment vertical="center"/>
    </xf>
    <xf numFmtId="0" fontId="3" fillId="0" borderId="0" xfId="0" applyFont="1"/>
    <xf numFmtId="4" fontId="12" fillId="0" borderId="0" xfId="6" applyNumberFormat="1" applyFont="1"/>
    <xf numFmtId="0" fontId="15" fillId="0" borderId="0" xfId="0" applyFont="1" applyAlignment="1">
      <alignment vertical="top" wrapText="1"/>
    </xf>
    <xf numFmtId="0" fontId="14" fillId="0" borderId="1" xfId="0" applyFont="1" applyBorder="1"/>
    <xf numFmtId="4" fontId="12" fillId="0" borderId="0" xfId="0" applyNumberFormat="1" applyFont="1"/>
    <xf numFmtId="0" fontId="13" fillId="0" borderId="1" xfId="0" applyFont="1" applyBorder="1"/>
    <xf numFmtId="4" fontId="13" fillId="0" borderId="1" xfId="0" applyNumberFormat="1" applyFont="1" applyBorder="1"/>
    <xf numFmtId="4" fontId="13" fillId="0" borderId="1" xfId="1" applyNumberFormat="1" applyFont="1" applyBorder="1"/>
    <xf numFmtId="4" fontId="12" fillId="0" borderId="0" xfId="1" applyNumberFormat="1" applyFont="1"/>
    <xf numFmtId="0" fontId="13" fillId="0" borderId="0" xfId="0" applyFont="1"/>
    <xf numFmtId="0" fontId="14" fillId="0" borderId="0" xfId="0" applyFont="1" applyAlignment="1">
      <alignment vertical="center"/>
    </xf>
    <xf numFmtId="0" fontId="16" fillId="0" borderId="0" xfId="0" applyFont="1" applyAlignment="1">
      <alignment vertical="top" wrapText="1"/>
    </xf>
    <xf numFmtId="4" fontId="14" fillId="0" borderId="1" xfId="0" applyNumberFormat="1" applyFont="1" applyBorder="1"/>
    <xf numFmtId="0" fontId="17" fillId="0" borderId="0" xfId="0" applyFont="1" applyAlignment="1">
      <alignment vertical="top" wrapText="1"/>
    </xf>
    <xf numFmtId="4" fontId="14" fillId="0" borderId="0" xfId="1" applyNumberFormat="1" applyFont="1"/>
    <xf numFmtId="0" fontId="18" fillId="0" borderId="0" xfId="0" applyFont="1" applyAlignment="1">
      <alignment vertical="top" wrapText="1"/>
    </xf>
    <xf numFmtId="0" fontId="22" fillId="0" borderId="0" xfId="7" applyFont="1" applyAlignment="1">
      <alignment horizontal="center" vertical="center" textRotation="90" wrapText="1"/>
    </xf>
    <xf numFmtId="0" fontId="22" fillId="0" borderId="0" xfId="7" applyFont="1" applyAlignment="1">
      <alignment horizontal="center" vertical="center"/>
    </xf>
    <xf numFmtId="0" fontId="22" fillId="0" borderId="0" xfId="7" applyFont="1" applyAlignment="1">
      <alignment wrapText="1"/>
    </xf>
    <xf numFmtId="0" fontId="24" fillId="15" borderId="0" xfId="7" applyFont="1" applyFill="1" applyAlignment="1">
      <alignment horizontal="center" vertical="center" wrapText="1"/>
    </xf>
    <xf numFmtId="0" fontId="21" fillId="16" borderId="0" xfId="7" applyFont="1" applyFill="1" applyAlignment="1">
      <alignment horizontal="center" vertical="center" wrapText="1"/>
    </xf>
    <xf numFmtId="0" fontId="24" fillId="15" borderId="0" xfId="7" applyFont="1" applyFill="1" applyAlignment="1">
      <alignment horizontal="center" vertical="center"/>
    </xf>
    <xf numFmtId="0" fontId="22" fillId="0" borderId="0" xfId="7" applyFont="1"/>
    <xf numFmtId="169" fontId="23" fillId="0" borderId="23" xfId="1" applyNumberFormat="1" applyFont="1" applyBorder="1" applyAlignment="1">
      <alignment vertical="top"/>
    </xf>
    <xf numFmtId="0" fontId="23" fillId="0" borderId="24" xfId="7" applyFont="1" applyBorder="1" applyAlignment="1">
      <alignment horizontal="right" vertical="top" wrapText="1"/>
    </xf>
    <xf numFmtId="169" fontId="23" fillId="0" borderId="24" xfId="1" applyNumberFormat="1" applyFont="1" applyBorder="1" applyAlignment="1">
      <alignment vertical="top"/>
    </xf>
    <xf numFmtId="0" fontId="20" fillId="18" borderId="23" xfId="7" applyFont="1" applyFill="1" applyBorder="1" applyAlignment="1">
      <alignment horizontal="right" vertical="top"/>
    </xf>
    <xf numFmtId="3" fontId="20" fillId="18" borderId="23" xfId="7" applyNumberFormat="1" applyFont="1" applyFill="1" applyBorder="1" applyAlignment="1">
      <alignment vertical="top"/>
    </xf>
    <xf numFmtId="169" fontId="22" fillId="18" borderId="23" xfId="1" applyNumberFormat="1" applyFont="1" applyFill="1" applyBorder="1" applyAlignment="1">
      <alignment vertical="top"/>
    </xf>
    <xf numFmtId="169" fontId="23" fillId="18" borderId="23" xfId="1" applyNumberFormat="1" applyFont="1" applyFill="1" applyBorder="1" applyAlignment="1">
      <alignment vertical="top"/>
    </xf>
    <xf numFmtId="169" fontId="23" fillId="0" borderId="26" xfId="1" applyNumberFormat="1" applyFont="1" applyBorder="1" applyAlignment="1">
      <alignment vertical="top"/>
    </xf>
    <xf numFmtId="169" fontId="23" fillId="0" borderId="25" xfId="1" applyNumberFormat="1" applyFont="1" applyBorder="1" applyAlignment="1">
      <alignment vertical="top"/>
    </xf>
    <xf numFmtId="0" fontId="23" fillId="0" borderId="28" xfId="7" applyFont="1" applyBorder="1" applyAlignment="1">
      <alignment horizontal="right" vertical="top" wrapText="1"/>
    </xf>
    <xf numFmtId="0" fontId="23" fillId="0" borderId="29" xfId="7" applyFont="1" applyBorder="1" applyAlignment="1">
      <alignment horizontal="right" vertical="top" wrapText="1"/>
    </xf>
    <xf numFmtId="0" fontId="22" fillId="0" borderId="28" xfId="7" applyFont="1" applyBorder="1" applyAlignment="1">
      <alignment vertical="top" wrapText="1"/>
    </xf>
    <xf numFmtId="0" fontId="22" fillId="0" borderId="28" xfId="7" applyFont="1" applyBorder="1" applyAlignment="1">
      <alignment horizontal="right" vertical="top" wrapText="1"/>
    </xf>
    <xf numFmtId="0" fontId="22" fillId="0" borderId="29" xfId="7" applyFont="1" applyBorder="1" applyAlignment="1">
      <alignment horizontal="right" vertical="top" wrapText="1"/>
    </xf>
    <xf numFmtId="0" fontId="21" fillId="0" borderId="32" xfId="7" applyFont="1" applyBorder="1" applyAlignment="1">
      <alignment vertical="top" wrapText="1"/>
    </xf>
    <xf numFmtId="0" fontId="22" fillId="19" borderId="23" xfId="7" applyFont="1" applyFill="1" applyBorder="1" applyAlignment="1">
      <alignment horizontal="center" vertical="center"/>
    </xf>
    <xf numFmtId="0" fontId="22" fillId="0" borderId="23" xfId="7" applyFont="1" applyBorder="1" applyAlignment="1">
      <alignment horizontal="center" vertical="center"/>
    </xf>
    <xf numFmtId="0" fontId="21" fillId="12" borderId="23" xfId="7" applyFont="1" applyFill="1" applyBorder="1" applyAlignment="1">
      <alignment horizontal="center" vertical="center"/>
    </xf>
    <xf numFmtId="0" fontId="22" fillId="20" borderId="23" xfId="7" applyFont="1" applyFill="1" applyBorder="1" applyAlignment="1">
      <alignment horizontal="center" vertical="center"/>
    </xf>
    <xf numFmtId="0" fontId="22" fillId="21" borderId="23" xfId="7" applyFont="1" applyFill="1" applyBorder="1" applyAlignment="1">
      <alignment horizontal="center" vertical="center"/>
    </xf>
    <xf numFmtId="0" fontId="21" fillId="21" borderId="23" xfId="7" applyFont="1" applyFill="1" applyBorder="1" applyAlignment="1">
      <alignment horizontal="center" vertical="center"/>
    </xf>
    <xf numFmtId="0" fontId="22" fillId="12" borderId="23" xfId="7" applyFont="1" applyFill="1" applyBorder="1" applyAlignment="1">
      <alignment horizontal="center" vertical="center"/>
    </xf>
    <xf numFmtId="0" fontId="25" fillId="12" borderId="30" xfId="7" applyFont="1" applyFill="1" applyBorder="1" applyAlignment="1">
      <alignment horizontal="right" vertical="top" wrapText="1"/>
    </xf>
    <xf numFmtId="0" fontId="22" fillId="22" borderId="23" xfId="7" applyFont="1" applyFill="1" applyBorder="1" applyAlignment="1">
      <alignment horizontal="center" vertical="center"/>
    </xf>
    <xf numFmtId="0" fontId="25" fillId="22" borderId="30" xfId="7" applyFont="1" applyFill="1" applyBorder="1" applyAlignment="1">
      <alignment horizontal="right" vertical="top" wrapText="1"/>
    </xf>
    <xf numFmtId="0" fontId="22" fillId="23" borderId="23" xfId="7" applyFont="1" applyFill="1" applyBorder="1" applyAlignment="1">
      <alignment horizontal="center" vertical="center"/>
    </xf>
    <xf numFmtId="0" fontId="25" fillId="23" borderId="30" xfId="7" applyFont="1" applyFill="1" applyBorder="1" applyAlignment="1">
      <alignment horizontal="right" vertical="top" wrapText="1"/>
    </xf>
    <xf numFmtId="0" fontId="22" fillId="14" borderId="23" xfId="7" applyFont="1" applyFill="1" applyBorder="1" applyAlignment="1">
      <alignment horizontal="center" vertical="center"/>
    </xf>
    <xf numFmtId="0" fontId="23" fillId="0" borderId="31" xfId="7" applyFont="1" applyBorder="1" applyAlignment="1">
      <alignment horizontal="right" vertical="top" wrapText="1"/>
    </xf>
    <xf numFmtId="169" fontId="23" fillId="18" borderId="26" xfId="1" applyNumberFormat="1" applyFont="1" applyFill="1" applyBorder="1" applyAlignment="1">
      <alignment vertical="top"/>
    </xf>
    <xf numFmtId="169" fontId="22" fillId="18" borderId="26" xfId="1" applyNumberFormat="1" applyFont="1" applyFill="1" applyBorder="1" applyAlignment="1">
      <alignment vertical="top"/>
    </xf>
    <xf numFmtId="0" fontId="26" fillId="0" borderId="0" xfId="4" applyFont="1"/>
    <xf numFmtId="0" fontId="26" fillId="17" borderId="0" xfId="4" applyFont="1" applyFill="1"/>
    <xf numFmtId="0" fontId="26" fillId="19" borderId="0" xfId="4" applyFont="1" applyFill="1"/>
    <xf numFmtId="0" fontId="26" fillId="0" borderId="0" xfId="4" applyFont="1" applyAlignment="1">
      <alignment horizontal="left"/>
    </xf>
    <xf numFmtId="0" fontId="27" fillId="0" borderId="0" xfId="4" applyFont="1"/>
    <xf numFmtId="43" fontId="26" fillId="0" borderId="0" xfId="4" applyNumberFormat="1" applyFont="1"/>
    <xf numFmtId="168" fontId="26" fillId="0" borderId="0" xfId="4" applyNumberFormat="1" applyFont="1"/>
    <xf numFmtId="0" fontId="28" fillId="0" borderId="0" xfId="6" applyFont="1"/>
    <xf numFmtId="0" fontId="29" fillId="11" borderId="0" xfId="6" applyFont="1" applyFill="1"/>
    <xf numFmtId="0" fontId="28" fillId="0" borderId="7" xfId="6" applyFont="1" applyBorder="1" applyAlignment="1">
      <alignment horizontal="center"/>
    </xf>
    <xf numFmtId="0" fontId="28" fillId="0" borderId="7" xfId="6" applyFont="1" applyBorder="1"/>
    <xf numFmtId="0" fontId="29" fillId="0" borderId="14" xfId="6" applyFont="1" applyBorder="1" applyAlignment="1">
      <alignment horizontal="center" vertical="center" wrapText="1"/>
    </xf>
    <xf numFmtId="0" fontId="29" fillId="0" borderId="16" xfId="6" applyFont="1" applyBorder="1" applyAlignment="1">
      <alignment horizontal="center" vertical="center" wrapText="1"/>
    </xf>
    <xf numFmtId="0" fontId="29" fillId="0" borderId="15" xfId="6" applyFont="1" applyBorder="1" applyAlignment="1">
      <alignment horizontal="center" vertical="center" wrapText="1"/>
    </xf>
    <xf numFmtId="166" fontId="28" fillId="0" borderId="11" xfId="6" applyNumberFormat="1" applyFont="1" applyBorder="1" applyAlignment="1">
      <alignment horizontal="center"/>
    </xf>
    <xf numFmtId="0" fontId="29" fillId="5" borderId="11" xfId="6" applyFont="1" applyFill="1" applyBorder="1"/>
    <xf numFmtId="0" fontId="29" fillId="5" borderId="12" xfId="6" applyFont="1" applyFill="1" applyBorder="1"/>
    <xf numFmtId="43" fontId="28" fillId="0" borderId="12" xfId="6" applyNumberFormat="1" applyFont="1" applyBorder="1"/>
    <xf numFmtId="43" fontId="28" fillId="0" borderId="13" xfId="6" applyNumberFormat="1" applyFont="1" applyBorder="1"/>
    <xf numFmtId="0" fontId="26" fillId="19" borderId="23" xfId="7" applyFont="1" applyFill="1" applyBorder="1" applyAlignment="1">
      <alignment horizontal="left" vertical="center"/>
    </xf>
    <xf numFmtId="0" fontId="30" fillId="19" borderId="30" xfId="7" applyFont="1" applyFill="1" applyBorder="1" applyAlignment="1">
      <alignment horizontal="left" vertical="top" wrapText="1"/>
    </xf>
    <xf numFmtId="0" fontId="28" fillId="0" borderId="11" xfId="6" applyFont="1" applyBorder="1"/>
    <xf numFmtId="0" fontId="28" fillId="0" borderId="12" xfId="6" applyFont="1" applyBorder="1"/>
    <xf numFmtId="0" fontId="28" fillId="17" borderId="28" xfId="7" applyFont="1" applyFill="1" applyBorder="1" applyAlignment="1">
      <alignment horizontal="left" vertical="top" wrapText="1"/>
    </xf>
    <xf numFmtId="0" fontId="28" fillId="0" borderId="28" xfId="7" applyFont="1" applyBorder="1" applyAlignment="1">
      <alignment horizontal="left" vertical="top" wrapText="1"/>
    </xf>
    <xf numFmtId="0" fontId="28" fillId="0" borderId="31" xfId="7" applyFont="1" applyBorder="1" applyAlignment="1">
      <alignment horizontal="left" vertical="top" wrapText="1"/>
    </xf>
    <xf numFmtId="0" fontId="28" fillId="0" borderId="29" xfId="7" applyFont="1" applyBorder="1" applyAlignment="1">
      <alignment horizontal="left" vertical="top" wrapText="1"/>
    </xf>
    <xf numFmtId="0" fontId="26" fillId="20" borderId="23" xfId="7" applyFont="1" applyFill="1" applyBorder="1" applyAlignment="1">
      <alignment horizontal="center" vertical="center"/>
    </xf>
    <xf numFmtId="0" fontId="30" fillId="20" borderId="30" xfId="7" applyFont="1" applyFill="1" applyBorder="1" applyAlignment="1">
      <alignment horizontal="left" vertical="top" wrapText="1"/>
    </xf>
    <xf numFmtId="0" fontId="26" fillId="0" borderId="28" xfId="7" applyFont="1" applyBorder="1" applyAlignment="1">
      <alignment horizontal="left" vertical="top" wrapText="1"/>
    </xf>
    <xf numFmtId="0" fontId="28" fillId="0" borderId="24" xfId="7" applyFont="1" applyBorder="1" applyAlignment="1">
      <alignment horizontal="left" vertical="top" wrapText="1"/>
    </xf>
    <xf numFmtId="0" fontId="26" fillId="22" borderId="23" xfId="7" applyFont="1" applyFill="1" applyBorder="1" applyAlignment="1">
      <alignment horizontal="center" vertical="center"/>
    </xf>
    <xf numFmtId="0" fontId="30" fillId="22" borderId="30" xfId="7" applyFont="1" applyFill="1" applyBorder="1" applyAlignment="1">
      <alignment horizontal="left" vertical="top" wrapText="1"/>
    </xf>
    <xf numFmtId="0" fontId="26" fillId="21" borderId="23" xfId="7" applyFont="1" applyFill="1" applyBorder="1" applyAlignment="1">
      <alignment horizontal="center" vertical="center"/>
    </xf>
    <xf numFmtId="0" fontId="30" fillId="21" borderId="30" xfId="7" applyFont="1" applyFill="1" applyBorder="1" applyAlignment="1">
      <alignment horizontal="left" vertical="top" wrapText="1"/>
    </xf>
    <xf numFmtId="0" fontId="27" fillId="21" borderId="23" xfId="7" applyFont="1" applyFill="1" applyBorder="1" applyAlignment="1">
      <alignment horizontal="center" vertical="center"/>
    </xf>
    <xf numFmtId="0" fontId="26" fillId="12" borderId="23" xfId="7" applyFont="1" applyFill="1" applyBorder="1" applyAlignment="1">
      <alignment horizontal="center" vertical="center"/>
    </xf>
    <xf numFmtId="0" fontId="30" fillId="12" borderId="30" xfId="7" applyFont="1" applyFill="1" applyBorder="1" applyAlignment="1">
      <alignment horizontal="left" vertical="top" wrapText="1"/>
    </xf>
    <xf numFmtId="0" fontId="27" fillId="12" borderId="23" xfId="7" applyFont="1" applyFill="1" applyBorder="1" applyAlignment="1">
      <alignment horizontal="center" vertical="center"/>
    </xf>
    <xf numFmtId="0" fontId="26" fillId="23" borderId="23" xfId="7" applyFont="1" applyFill="1" applyBorder="1" applyAlignment="1">
      <alignment horizontal="center" vertical="center"/>
    </xf>
    <xf numFmtId="0" fontId="30" fillId="23" borderId="30" xfId="7" applyFont="1" applyFill="1" applyBorder="1" applyAlignment="1">
      <alignment horizontal="left" vertical="top" wrapText="1"/>
    </xf>
    <xf numFmtId="0" fontId="26" fillId="0" borderId="29" xfId="7" applyFont="1" applyBorder="1" applyAlignment="1">
      <alignment horizontal="left" vertical="top" wrapText="1"/>
    </xf>
    <xf numFmtId="0" fontId="26" fillId="14" borderId="23" xfId="7" applyFont="1" applyFill="1" applyBorder="1" applyAlignment="1">
      <alignment horizontal="center" vertical="center"/>
    </xf>
    <xf numFmtId="43" fontId="28" fillId="0" borderId="0" xfId="6" applyNumberFormat="1" applyFont="1"/>
    <xf numFmtId="16" fontId="28" fillId="0" borderId="14" xfId="6" applyNumberFormat="1" applyFont="1" applyBorder="1" applyAlignment="1">
      <alignment horizontal="center"/>
    </xf>
    <xf numFmtId="0" fontId="29" fillId="0" borderId="1" xfId="6" applyFont="1" applyBorder="1"/>
    <xf numFmtId="0" fontId="29" fillId="0" borderId="18" xfId="6" applyFont="1" applyBorder="1"/>
    <xf numFmtId="0" fontId="28" fillId="0" borderId="8" xfId="6" applyFont="1" applyBorder="1" applyAlignment="1">
      <alignment horizontal="center"/>
    </xf>
    <xf numFmtId="0" fontId="28" fillId="0" borderId="8" xfId="6" applyFont="1" applyBorder="1"/>
    <xf numFmtId="0" fontId="29" fillId="0" borderId="9" xfId="6" applyFont="1" applyBorder="1" applyAlignment="1">
      <alignment horizontal="center"/>
    </xf>
    <xf numFmtId="0" fontId="29" fillId="0" borderId="10" xfId="6" applyFont="1" applyBorder="1" applyAlignment="1">
      <alignment horizontal="center"/>
    </xf>
    <xf numFmtId="0" fontId="29" fillId="0" borderId="14" xfId="6" applyFont="1" applyBorder="1" applyAlignment="1">
      <alignment horizontal="center" vertical="center"/>
    </xf>
    <xf numFmtId="0" fontId="29" fillId="0" borderId="16" xfId="6" applyFont="1" applyBorder="1" applyAlignment="1">
      <alignment horizontal="center" vertical="center"/>
    </xf>
    <xf numFmtId="0" fontId="29" fillId="0" borderId="15" xfId="6" applyFont="1" applyBorder="1" applyAlignment="1">
      <alignment horizontal="center" vertical="center"/>
    </xf>
    <xf numFmtId="16" fontId="28" fillId="0" borderId="0" xfId="6" applyNumberFormat="1" applyFont="1" applyAlignment="1">
      <alignment horizontal="center"/>
    </xf>
    <xf numFmtId="0" fontId="29" fillId="0" borderId="2" xfId="6" applyFont="1" applyBorder="1"/>
    <xf numFmtId="0" fontId="29" fillId="0" borderId="3" xfId="6" applyFont="1" applyBorder="1"/>
    <xf numFmtId="43" fontId="29" fillId="0" borderId="4" xfId="6" applyNumberFormat="1" applyFont="1" applyBorder="1"/>
    <xf numFmtId="43" fontId="29" fillId="0" borderId="0" xfId="6" applyNumberFormat="1" applyFont="1"/>
    <xf numFmtId="0" fontId="29" fillId="8" borderId="2" xfId="6" applyFont="1" applyFill="1" applyBorder="1"/>
    <xf numFmtId="0" fontId="29" fillId="8" borderId="3" xfId="6" applyFont="1" applyFill="1" applyBorder="1"/>
    <xf numFmtId="0" fontId="29" fillId="8" borderId="5" xfId="6" applyFont="1" applyFill="1" applyBorder="1"/>
    <xf numFmtId="0" fontId="29" fillId="8" borderId="0" xfId="6" applyFont="1" applyFill="1"/>
    <xf numFmtId="43" fontId="28" fillId="0" borderId="0" xfId="6" applyNumberFormat="1" applyFont="1" applyAlignment="1">
      <alignment horizontal="left"/>
    </xf>
    <xf numFmtId="43" fontId="28" fillId="0" borderId="0" xfId="0" applyNumberFormat="1" applyFont="1"/>
    <xf numFmtId="43" fontId="28" fillId="0" borderId="3" xfId="6" applyNumberFormat="1" applyFont="1" applyBorder="1"/>
    <xf numFmtId="167" fontId="28" fillId="0" borderId="0" xfId="6" applyNumberFormat="1" applyFont="1" applyAlignment="1">
      <alignment horizontal="center"/>
    </xf>
    <xf numFmtId="0" fontId="28" fillId="0" borderId="0" xfId="6" applyFont="1" applyAlignment="1">
      <alignment horizontal="center"/>
    </xf>
    <xf numFmtId="0" fontId="29" fillId="8" borderId="6" xfId="6" applyFont="1" applyFill="1" applyBorder="1"/>
    <xf numFmtId="0" fontId="29" fillId="8" borderId="7" xfId="6" applyFont="1" applyFill="1" applyBorder="1"/>
    <xf numFmtId="43" fontId="26" fillId="0" borderId="3" xfId="4" applyNumberFormat="1" applyFont="1" applyBorder="1"/>
    <xf numFmtId="164" fontId="28" fillId="0" borderId="0" xfId="6" applyNumberFormat="1" applyFont="1"/>
    <xf numFmtId="43" fontId="26" fillId="0" borderId="0" xfId="1" applyFont="1"/>
    <xf numFmtId="43" fontId="27" fillId="0" borderId="20" xfId="4" applyNumberFormat="1" applyFont="1" applyBorder="1"/>
    <xf numFmtId="7" fontId="26" fillId="0" borderId="0" xfId="4" applyNumberFormat="1" applyFont="1"/>
    <xf numFmtId="164" fontId="26" fillId="0" borderId="0" xfId="4" applyNumberFormat="1" applyFont="1"/>
    <xf numFmtId="0" fontId="23" fillId="0" borderId="31" xfId="7" applyFont="1" applyBorder="1" applyAlignment="1">
      <alignment horizontal="left" vertical="top" wrapText="1"/>
    </xf>
    <xf numFmtId="3" fontId="22" fillId="18" borderId="23" xfId="7" applyNumberFormat="1" applyFont="1" applyFill="1" applyBorder="1" applyAlignment="1">
      <alignment vertical="top"/>
    </xf>
    <xf numFmtId="3" fontId="22" fillId="18" borderId="25" xfId="7" applyNumberFormat="1" applyFont="1" applyFill="1" applyBorder="1" applyAlignment="1">
      <alignment vertical="top"/>
    </xf>
    <xf numFmtId="169" fontId="22" fillId="18" borderId="25" xfId="1" applyNumberFormat="1" applyFont="1" applyFill="1" applyBorder="1" applyAlignment="1">
      <alignment vertical="top"/>
    </xf>
    <xf numFmtId="169" fontId="23" fillId="18" borderId="25" xfId="1" applyNumberFormat="1" applyFont="1" applyFill="1" applyBorder="1" applyAlignment="1">
      <alignment vertical="top"/>
    </xf>
    <xf numFmtId="0" fontId="22" fillId="20" borderId="26" xfId="7" applyFont="1" applyFill="1" applyBorder="1" applyAlignment="1">
      <alignment horizontal="center" vertical="center"/>
    </xf>
    <xf numFmtId="0" fontId="22" fillId="22" borderId="25" xfId="7" applyFont="1" applyFill="1" applyBorder="1" applyAlignment="1">
      <alignment horizontal="center" vertical="center"/>
    </xf>
    <xf numFmtId="0" fontId="22" fillId="21" borderId="26" xfId="7" applyFont="1" applyFill="1" applyBorder="1" applyAlignment="1">
      <alignment horizontal="center" vertical="center"/>
    </xf>
    <xf numFmtId="0" fontId="20" fillId="0" borderId="30" xfId="7" applyFont="1" applyBorder="1" applyAlignment="1">
      <alignment horizontal="right" vertical="top" wrapText="1"/>
    </xf>
    <xf numFmtId="0" fontId="22" fillId="21" borderId="27" xfId="7" applyFont="1" applyFill="1" applyBorder="1" applyAlignment="1">
      <alignment horizontal="center" vertical="center"/>
    </xf>
    <xf numFmtId="0" fontId="25" fillId="21" borderId="32" xfId="7" applyFont="1" applyFill="1" applyBorder="1" applyAlignment="1">
      <alignment horizontal="right" vertical="top" wrapText="1"/>
    </xf>
    <xf numFmtId="169" fontId="23" fillId="19" borderId="26" xfId="1" applyNumberFormat="1" applyFont="1" applyFill="1" applyBorder="1" applyAlignment="1">
      <alignment vertical="top"/>
    </xf>
    <xf numFmtId="3" fontId="22" fillId="18" borderId="26" xfId="7" applyNumberFormat="1" applyFont="1" applyFill="1" applyBorder="1" applyAlignment="1">
      <alignment vertical="top"/>
    </xf>
    <xf numFmtId="4" fontId="14" fillId="17" borderId="37" xfId="1" applyNumberFormat="1" applyFont="1" applyFill="1" applyBorder="1"/>
    <xf numFmtId="4" fontId="14" fillId="17" borderId="38" xfId="0" applyNumberFormat="1" applyFont="1" applyFill="1" applyBorder="1"/>
    <xf numFmtId="4" fontId="14" fillId="0" borderId="38" xfId="0" applyNumberFormat="1" applyFont="1" applyBorder="1"/>
    <xf numFmtId="4" fontId="13" fillId="17" borderId="38" xfId="0" applyNumberFormat="1" applyFont="1" applyFill="1" applyBorder="1"/>
    <xf numFmtId="4" fontId="13" fillId="0" borderId="38" xfId="0" applyNumberFormat="1" applyFont="1" applyBorder="1"/>
    <xf numFmtId="168" fontId="20" fillId="0" borderId="38" xfId="6" applyNumberFormat="1" applyFont="1" applyBorder="1"/>
    <xf numFmtId="4" fontId="13" fillId="14" borderId="38" xfId="0" applyNumberFormat="1" applyFont="1" applyFill="1" applyBorder="1"/>
    <xf numFmtId="4" fontId="14" fillId="0" borderId="39" xfId="0" applyNumberFormat="1" applyFont="1" applyBorder="1"/>
    <xf numFmtId="2" fontId="14" fillId="17" borderId="38" xfId="0" applyNumberFormat="1" applyFont="1" applyFill="1" applyBorder="1"/>
    <xf numFmtId="0" fontId="16" fillId="17" borderId="0" xfId="0" applyFont="1" applyFill="1" applyAlignment="1">
      <alignment vertical="top"/>
    </xf>
    <xf numFmtId="0" fontId="13" fillId="17" borderId="0" xfId="0" applyFont="1" applyFill="1"/>
    <xf numFmtId="164" fontId="26" fillId="0" borderId="10" xfId="4" applyNumberFormat="1" applyFont="1" applyBorder="1"/>
    <xf numFmtId="164" fontId="26" fillId="17" borderId="0" xfId="4" applyNumberFormat="1" applyFont="1" applyFill="1"/>
    <xf numFmtId="0" fontId="26" fillId="0" borderId="0" xfId="4" applyFont="1" applyAlignment="1">
      <alignment horizontal="center"/>
    </xf>
    <xf numFmtId="170" fontId="28" fillId="0" borderId="7" xfId="6" applyNumberFormat="1" applyFont="1" applyBorder="1" applyAlignment="1">
      <alignment horizontal="center"/>
    </xf>
    <xf numFmtId="170" fontId="29" fillId="0" borderId="14" xfId="6" applyNumberFormat="1" applyFont="1" applyBorder="1" applyAlignment="1">
      <alignment horizontal="center" vertical="center" wrapText="1"/>
    </xf>
    <xf numFmtId="170" fontId="26" fillId="0" borderId="0" xfId="4" applyNumberFormat="1" applyFont="1" applyAlignment="1">
      <alignment horizontal="center"/>
    </xf>
    <xf numFmtId="170" fontId="28" fillId="0" borderId="8" xfId="6" applyNumberFormat="1" applyFont="1" applyBorder="1" applyAlignment="1">
      <alignment horizontal="center"/>
    </xf>
    <xf numFmtId="170" fontId="28" fillId="0" borderId="0" xfId="6" applyNumberFormat="1" applyFont="1" applyAlignment="1">
      <alignment horizontal="center"/>
    </xf>
    <xf numFmtId="170" fontId="28" fillId="0" borderId="14" xfId="6" applyNumberFormat="1" applyFont="1" applyBorder="1" applyAlignment="1">
      <alignment horizontal="center" vertical="center"/>
    </xf>
    <xf numFmtId="43" fontId="28" fillId="0" borderId="7" xfId="6" applyNumberFormat="1" applyFont="1" applyBorder="1"/>
    <xf numFmtId="43" fontId="29" fillId="13" borderId="10" xfId="6" applyNumberFormat="1" applyFont="1" applyFill="1" applyBorder="1" applyAlignment="1">
      <alignment horizontal="center" vertical="center"/>
    </xf>
    <xf numFmtId="43" fontId="29" fillId="0" borderId="17" xfId="6" applyNumberFormat="1" applyFont="1" applyBorder="1" applyAlignment="1">
      <alignment horizontal="center" vertical="center" wrapText="1"/>
    </xf>
    <xf numFmtId="43" fontId="29" fillId="0" borderId="15" xfId="6" applyNumberFormat="1" applyFont="1" applyBorder="1"/>
    <xf numFmtId="43" fontId="28" fillId="0" borderId="4" xfId="6" applyNumberFormat="1" applyFont="1" applyBorder="1"/>
    <xf numFmtId="43" fontId="29" fillId="0" borderId="17" xfId="6" applyNumberFormat="1" applyFont="1" applyBorder="1" applyAlignment="1">
      <alignment horizontal="center" vertical="center"/>
    </xf>
    <xf numFmtId="43" fontId="29" fillId="8" borderId="0" xfId="6" applyNumberFormat="1" applyFont="1" applyFill="1"/>
    <xf numFmtId="43" fontId="27" fillId="8" borderId="0" xfId="4" applyNumberFormat="1" applyFont="1" applyFill="1"/>
    <xf numFmtId="43" fontId="29" fillId="8" borderId="7" xfId="6" applyNumberFormat="1" applyFont="1" applyFill="1" applyBorder="1"/>
    <xf numFmtId="0" fontId="29" fillId="0" borderId="12" xfId="6" applyFont="1" applyBorder="1"/>
    <xf numFmtId="43" fontId="29" fillId="0" borderId="16" xfId="6" applyNumberFormat="1" applyFont="1" applyBorder="1" applyAlignment="1">
      <alignment horizontal="center" vertical="center" wrapText="1"/>
    </xf>
    <xf numFmtId="43" fontId="29" fillId="0" borderId="18" xfId="6" applyNumberFormat="1" applyFont="1" applyBorder="1"/>
    <xf numFmtId="43" fontId="28" fillId="0" borderId="19" xfId="6" applyNumberFormat="1" applyFont="1" applyBorder="1"/>
    <xf numFmtId="43" fontId="29" fillId="0" borderId="16" xfId="6" applyNumberFormat="1" applyFont="1" applyBorder="1" applyAlignment="1">
      <alignment horizontal="center" vertical="center"/>
    </xf>
    <xf numFmtId="43" fontId="29" fillId="0" borderId="5" xfId="6" applyNumberFormat="1" applyFont="1" applyBorder="1"/>
    <xf numFmtId="0" fontId="29" fillId="11" borderId="0" xfId="6" applyFont="1" applyFill="1" applyAlignment="1">
      <alignment horizontal="center"/>
    </xf>
    <xf numFmtId="0" fontId="29" fillId="0" borderId="0" xfId="6" applyFont="1" applyBorder="1" applyAlignment="1">
      <alignment horizontal="center" vertical="center" wrapText="1"/>
    </xf>
    <xf numFmtId="43" fontId="28" fillId="0" borderId="0" xfId="6" applyNumberFormat="1" applyFont="1" applyBorder="1"/>
    <xf numFmtId="43" fontId="29" fillId="17" borderId="13" xfId="6" applyNumberFormat="1" applyFont="1" applyFill="1" applyBorder="1"/>
    <xf numFmtId="43" fontId="28" fillId="0" borderId="0" xfId="6" applyNumberFormat="1" applyFont="1" applyFill="1" applyBorder="1"/>
    <xf numFmtId="0" fontId="27" fillId="14" borderId="28" xfId="7" applyFont="1" applyFill="1" applyBorder="1" applyAlignment="1">
      <alignment horizontal="left" vertical="top" wrapText="1"/>
    </xf>
    <xf numFmtId="43" fontId="26" fillId="17" borderId="0" xfId="4" applyNumberFormat="1" applyFont="1" applyFill="1"/>
    <xf numFmtId="43" fontId="29" fillId="0" borderId="13" xfId="6" applyNumberFormat="1" applyFont="1" applyFill="1" applyBorder="1"/>
    <xf numFmtId="0" fontId="26" fillId="0" borderId="0" xfId="4" applyFont="1" applyFill="1"/>
    <xf numFmtId="43" fontId="26" fillId="0" borderId="0" xfId="4" applyNumberFormat="1" applyFont="1" applyFill="1"/>
    <xf numFmtId="0" fontId="12" fillId="0" borderId="33" xfId="0" applyFont="1" applyBorder="1"/>
    <xf numFmtId="0" fontId="14" fillId="7" borderId="0" xfId="0" applyFont="1" applyFill="1" applyAlignment="1">
      <alignment horizontal="center"/>
    </xf>
    <xf numFmtId="0" fontId="14" fillId="0" borderId="2" xfId="0" applyFont="1" applyBorder="1" applyAlignment="1">
      <alignment horizontal="left" vertical="top" wrapText="1"/>
    </xf>
    <xf numFmtId="0" fontId="14" fillId="0" borderId="3" xfId="0" applyFont="1" applyBorder="1" applyAlignment="1">
      <alignment horizontal="left" vertical="top"/>
    </xf>
    <xf numFmtId="0" fontId="14" fillId="0" borderId="4" xfId="0" applyFont="1" applyBorder="1" applyAlignment="1">
      <alignment horizontal="left" vertical="top"/>
    </xf>
    <xf numFmtId="0" fontId="14" fillId="0" borderId="5" xfId="0" applyFont="1" applyBorder="1" applyAlignment="1">
      <alignment horizontal="left" vertical="top"/>
    </xf>
    <xf numFmtId="0" fontId="14" fillId="0" borderId="0" xfId="0" applyFont="1" applyAlignment="1">
      <alignment horizontal="left" vertical="top"/>
    </xf>
    <xf numFmtId="0" fontId="14" fillId="0" borderId="13" xfId="0" applyFont="1" applyBorder="1" applyAlignment="1">
      <alignment horizontal="left" vertical="top"/>
    </xf>
    <xf numFmtId="0" fontId="14" fillId="0" borderId="6" xfId="0" applyFont="1" applyBorder="1" applyAlignment="1">
      <alignment horizontal="left" vertical="top"/>
    </xf>
    <xf numFmtId="0" fontId="14" fillId="0" borderId="7" xfId="0" applyFont="1" applyBorder="1" applyAlignment="1">
      <alignment horizontal="left" vertical="top"/>
    </xf>
    <xf numFmtId="0" fontId="14" fillId="0" borderId="17" xfId="0" applyFont="1" applyBorder="1" applyAlignment="1">
      <alignment horizontal="left" vertical="top"/>
    </xf>
    <xf numFmtId="0" fontId="23" fillId="18" borderId="23" xfId="7" applyFont="1" applyFill="1" applyBorder="1" applyAlignment="1">
      <alignment horizontal="right" vertical="top"/>
    </xf>
    <xf numFmtId="3" fontId="22" fillId="18" borderId="24" xfId="7" applyNumberFormat="1" applyFont="1" applyFill="1" applyBorder="1" applyAlignment="1">
      <alignment vertical="top"/>
    </xf>
    <xf numFmtId="169" fontId="22" fillId="18" borderId="24" xfId="1" applyNumberFormat="1" applyFont="1" applyFill="1" applyBorder="1" applyAlignment="1">
      <alignment vertical="top"/>
    </xf>
    <xf numFmtId="169" fontId="23" fillId="18" borderId="24" xfId="1" applyNumberFormat="1" applyFont="1" applyFill="1" applyBorder="1" applyAlignment="1">
      <alignment vertical="top"/>
    </xf>
    <xf numFmtId="3" fontId="20" fillId="18" borderId="25" xfId="7" applyNumberFormat="1" applyFont="1" applyFill="1" applyBorder="1" applyAlignment="1">
      <alignment vertical="top"/>
    </xf>
    <xf numFmtId="0" fontId="22" fillId="18" borderId="23" xfId="7" applyFont="1" applyFill="1" applyBorder="1" applyAlignment="1">
      <alignment vertical="top"/>
    </xf>
    <xf numFmtId="0" fontId="20" fillId="18" borderId="25" xfId="7" applyFont="1" applyFill="1" applyBorder="1" applyAlignment="1">
      <alignment horizontal="right" vertical="top"/>
    </xf>
    <xf numFmtId="169" fontId="22" fillId="18" borderId="23" xfId="1" applyNumberFormat="1" applyFont="1" applyFill="1" applyBorder="1" applyAlignment="1">
      <alignment horizontal="right" vertical="top"/>
    </xf>
    <xf numFmtId="41" fontId="22" fillId="18" borderId="23" xfId="7" applyNumberFormat="1" applyFont="1" applyFill="1" applyBorder="1" applyAlignment="1">
      <alignment vertical="top"/>
    </xf>
    <xf numFmtId="169" fontId="22" fillId="18" borderId="26" xfId="1" applyNumberFormat="1" applyFont="1" applyFill="1" applyBorder="1" applyAlignment="1">
      <alignment horizontal="right" vertical="top"/>
    </xf>
    <xf numFmtId="41" fontId="22" fillId="18" borderId="26" xfId="7" applyNumberFormat="1" applyFont="1" applyFill="1" applyBorder="1" applyAlignment="1">
      <alignment vertical="top"/>
    </xf>
    <xf numFmtId="171" fontId="26" fillId="0" borderId="0" xfId="4" applyNumberFormat="1" applyFont="1" applyAlignment="1">
      <alignment horizontal="center"/>
    </xf>
    <xf numFmtId="171" fontId="28" fillId="0" borderId="11" xfId="6" applyNumberFormat="1" applyFont="1" applyBorder="1" applyAlignment="1">
      <alignment horizontal="center"/>
    </xf>
    <xf numFmtId="171" fontId="28" fillId="0" borderId="14" xfId="6" applyNumberFormat="1" applyFont="1" applyBorder="1" applyAlignment="1">
      <alignment horizontal="center"/>
    </xf>
    <xf numFmtId="43" fontId="29" fillId="17" borderId="3" xfId="6" applyNumberFormat="1" applyFont="1" applyFill="1" applyBorder="1"/>
    <xf numFmtId="49" fontId="3" fillId="17" borderId="0" xfId="0" applyNumberFormat="1" applyFont="1" applyFill="1"/>
    <xf numFmtId="169" fontId="23" fillId="0" borderId="23" xfId="1" applyNumberFormat="1" applyFont="1" applyFill="1" applyBorder="1" applyAlignment="1">
      <alignment vertical="top"/>
    </xf>
    <xf numFmtId="0" fontId="31" fillId="0" borderId="33" xfId="0" applyFont="1" applyBorder="1"/>
    <xf numFmtId="0" fontId="31" fillId="0" borderId="34" xfId="0" applyFont="1" applyBorder="1"/>
    <xf numFmtId="0" fontId="12" fillId="0" borderId="5" xfId="0" applyFont="1" applyBorder="1" applyAlignment="1">
      <alignment horizontal="left" vertical="top"/>
    </xf>
    <xf numFmtId="0" fontId="12" fillId="0" borderId="0" xfId="0" applyFont="1" applyAlignment="1">
      <alignment horizontal="left" vertical="top"/>
    </xf>
    <xf numFmtId="0" fontId="19" fillId="0" borderId="0" xfId="0" applyFont="1" applyAlignment="1">
      <alignment horizontal="left" vertical="top"/>
    </xf>
    <xf numFmtId="0" fontId="12" fillId="0" borderId="34" xfId="0" applyFont="1" applyBorder="1"/>
    <xf numFmtId="0" fontId="32" fillId="24" borderId="0" xfId="7" applyFont="1" applyFill="1" applyAlignment="1">
      <alignment horizontal="center" vertical="center" wrapText="1"/>
    </xf>
    <xf numFmtId="0" fontId="3" fillId="3" borderId="47" xfId="0" applyFont="1" applyFill="1" applyBorder="1"/>
    <xf numFmtId="0" fontId="12" fillId="0" borderId="48" xfId="0" applyFont="1" applyBorder="1"/>
    <xf numFmtId="8" fontId="12" fillId="17" borderId="49" xfId="0" applyNumberFormat="1" applyFont="1" applyFill="1" applyBorder="1"/>
    <xf numFmtId="0" fontId="31" fillId="0" borderId="50" xfId="0" applyFont="1" applyBorder="1"/>
    <xf numFmtId="8" fontId="12" fillId="17" borderId="51" xfId="1" applyNumberFormat="1" applyFont="1" applyFill="1" applyBorder="1"/>
    <xf numFmtId="0" fontId="13" fillId="0" borderId="52" xfId="0" applyFont="1" applyBorder="1"/>
    <xf numFmtId="0" fontId="13" fillId="0" borderId="53" xfId="0" applyFont="1" applyBorder="1"/>
    <xf numFmtId="0" fontId="23" fillId="0" borderId="30" xfId="7" applyFont="1" applyBorder="1" applyAlignment="1">
      <alignment horizontal="right" vertical="top" wrapText="1"/>
    </xf>
    <xf numFmtId="0" fontId="22" fillId="0" borderId="55" xfId="7" applyFont="1" applyBorder="1"/>
    <xf numFmtId="0" fontId="22" fillId="0" borderId="55" xfId="7" applyFont="1" applyBorder="1" applyAlignment="1">
      <alignment horizontal="center" vertical="center"/>
    </xf>
    <xf numFmtId="0" fontId="22" fillId="0" borderId="55" xfId="7" applyFont="1" applyBorder="1" applyAlignment="1">
      <alignment wrapText="1"/>
    </xf>
    <xf numFmtId="0" fontId="22" fillId="18" borderId="55" xfId="7" applyFont="1" applyFill="1" applyBorder="1" applyAlignment="1">
      <alignment wrapText="1"/>
    </xf>
    <xf numFmtId="0" fontId="22" fillId="18" borderId="55" xfId="7" applyFont="1" applyFill="1" applyBorder="1"/>
    <xf numFmtId="0" fontId="21" fillId="0" borderId="55" xfId="7" applyFont="1" applyBorder="1" applyAlignment="1">
      <alignment wrapText="1"/>
    </xf>
    <xf numFmtId="0" fontId="22" fillId="0" borderId="30" xfId="7" applyFont="1" applyBorder="1" applyAlignment="1">
      <alignment horizontal="right" vertical="top" wrapText="1"/>
    </xf>
    <xf numFmtId="3" fontId="20" fillId="25" borderId="25" xfId="7" applyNumberFormat="1" applyFont="1" applyFill="1" applyBorder="1" applyAlignment="1">
      <alignment vertical="top"/>
    </xf>
    <xf numFmtId="169" fontId="23" fillId="12" borderId="25" xfId="1" applyNumberFormat="1" applyFont="1" applyFill="1" applyBorder="1" applyAlignment="1">
      <alignment vertical="top"/>
    </xf>
    <xf numFmtId="0" fontId="22" fillId="12" borderId="25" xfId="7" applyFont="1" applyFill="1" applyBorder="1" applyAlignment="1">
      <alignment horizontal="center" vertical="center"/>
    </xf>
    <xf numFmtId="0" fontId="22" fillId="0" borderId="57" xfId="7" applyFont="1" applyBorder="1"/>
    <xf numFmtId="0" fontId="21" fillId="0" borderId="0" xfId="7" applyFont="1"/>
    <xf numFmtId="4" fontId="22" fillId="0" borderId="0" xfId="7" applyNumberFormat="1" applyFont="1"/>
    <xf numFmtId="0" fontId="21" fillId="18" borderId="55" xfId="7" applyFont="1" applyFill="1" applyBorder="1" applyAlignment="1">
      <alignment wrapText="1"/>
    </xf>
    <xf numFmtId="0" fontId="21" fillId="18" borderId="55" xfId="7" applyFont="1" applyFill="1" applyBorder="1"/>
    <xf numFmtId="0" fontId="22" fillId="0" borderId="28" xfId="7" applyFont="1" applyBorder="1" applyAlignment="1">
      <alignment horizontal="left" vertical="top" wrapText="1"/>
    </xf>
    <xf numFmtId="4" fontId="21" fillId="0" borderId="56" xfId="7" applyNumberFormat="1" applyFont="1" applyBorder="1"/>
    <xf numFmtId="0" fontId="21" fillId="0" borderId="0" xfId="7" applyFont="1" applyAlignment="1">
      <alignment wrapText="1"/>
    </xf>
    <xf numFmtId="44" fontId="21" fillId="0" borderId="58" xfId="8" applyFont="1" applyBorder="1"/>
    <xf numFmtId="0" fontId="21" fillId="0" borderId="58" xfId="7" applyFont="1" applyBorder="1"/>
    <xf numFmtId="3" fontId="20" fillId="22" borderId="25" xfId="7" applyNumberFormat="1" applyFont="1" applyFill="1" applyBorder="1" applyAlignment="1">
      <alignment vertical="top"/>
    </xf>
    <xf numFmtId="0" fontId="20" fillId="21" borderId="32" xfId="7" applyFont="1" applyFill="1" applyBorder="1" applyAlignment="1">
      <alignment horizontal="right" vertical="top" wrapText="1"/>
    </xf>
    <xf numFmtId="3" fontId="21" fillId="12" borderId="25" xfId="7" applyNumberFormat="1" applyFont="1" applyFill="1" applyBorder="1" applyAlignment="1">
      <alignment vertical="top"/>
    </xf>
    <xf numFmtId="3" fontId="20" fillId="12" borderId="25" xfId="7" applyNumberFormat="1" applyFont="1" applyFill="1" applyBorder="1" applyAlignment="1">
      <alignment vertical="top"/>
    </xf>
    <xf numFmtId="3" fontId="21" fillId="26" borderId="27" xfId="7" applyNumberFormat="1" applyFont="1" applyFill="1" applyBorder="1" applyAlignment="1">
      <alignment vertical="top"/>
    </xf>
    <xf numFmtId="3" fontId="20" fillId="25" borderId="60" xfId="7" applyNumberFormat="1" applyFont="1" applyFill="1" applyBorder="1" applyAlignment="1">
      <alignment vertical="top"/>
    </xf>
    <xf numFmtId="0" fontId="24" fillId="15" borderId="27" xfId="7" applyFont="1" applyFill="1" applyBorder="1" applyAlignment="1">
      <alignment horizontal="center" vertical="center" wrapText="1"/>
    </xf>
    <xf numFmtId="4" fontId="21" fillId="0" borderId="0" xfId="7" applyNumberFormat="1" applyFont="1"/>
    <xf numFmtId="169" fontId="23" fillId="0" borderId="25" xfId="1" applyNumberFormat="1" applyFont="1" applyFill="1" applyBorder="1" applyAlignment="1">
      <alignment vertical="top"/>
    </xf>
    <xf numFmtId="0" fontId="25" fillId="19" borderId="61" xfId="7" applyFont="1" applyFill="1" applyBorder="1" applyAlignment="1">
      <alignment horizontal="right" vertical="top" wrapText="1"/>
    </xf>
    <xf numFmtId="3" fontId="20" fillId="19" borderId="61" xfId="7" applyNumberFormat="1" applyFont="1" applyFill="1" applyBorder="1" applyAlignment="1">
      <alignment vertical="top"/>
    </xf>
    <xf numFmtId="3" fontId="20" fillId="20" borderId="62" xfId="7" applyNumberFormat="1" applyFont="1" applyFill="1" applyBorder="1" applyAlignment="1">
      <alignment vertical="top"/>
    </xf>
    <xf numFmtId="0" fontId="25" fillId="20" borderId="64" xfId="7" applyFont="1" applyFill="1" applyBorder="1" applyAlignment="1">
      <alignment horizontal="right" vertical="top" wrapText="1"/>
    </xf>
    <xf numFmtId="0" fontId="22" fillId="20" borderId="0" xfId="7" applyFont="1" applyFill="1" applyBorder="1" applyAlignment="1">
      <alignment horizontal="center" vertical="center"/>
    </xf>
    <xf numFmtId="41" fontId="20" fillId="20" borderId="65" xfId="7" applyNumberFormat="1" applyFont="1" applyFill="1" applyBorder="1" applyAlignment="1">
      <alignment vertical="top"/>
    </xf>
    <xf numFmtId="3" fontId="21" fillId="0" borderId="0" xfId="7" applyNumberFormat="1" applyFont="1"/>
    <xf numFmtId="4" fontId="21" fillId="0" borderId="0" xfId="7" applyNumberFormat="1" applyFont="1" applyBorder="1"/>
    <xf numFmtId="4" fontId="21" fillId="27" borderId="63" xfId="7" applyNumberFormat="1" applyFont="1" applyFill="1" applyBorder="1"/>
    <xf numFmtId="4" fontId="21" fillId="27" borderId="0" xfId="7" applyNumberFormat="1" applyFont="1" applyFill="1" applyBorder="1"/>
    <xf numFmtId="0" fontId="22" fillId="27" borderId="0" xfId="7" applyFont="1" applyFill="1" applyBorder="1" applyAlignment="1">
      <alignment wrapText="1"/>
    </xf>
    <xf numFmtId="0" fontId="22" fillId="27" borderId="63" xfId="7" applyFont="1" applyFill="1" applyBorder="1" applyAlignment="1">
      <alignment wrapText="1"/>
    </xf>
    <xf numFmtId="0" fontId="22" fillId="27" borderId="63" xfId="7" applyFont="1" applyFill="1" applyBorder="1"/>
    <xf numFmtId="0" fontId="34" fillId="27" borderId="63" xfId="7" applyFont="1" applyFill="1" applyBorder="1" applyAlignment="1">
      <alignment horizontal="right" wrapText="1"/>
    </xf>
    <xf numFmtId="0" fontId="22" fillId="18" borderId="0" xfId="7" applyFont="1" applyFill="1" applyBorder="1" applyAlignment="1">
      <alignment wrapText="1"/>
    </xf>
    <xf numFmtId="0" fontId="22" fillId="18" borderId="0" xfId="7" applyFont="1" applyFill="1" applyBorder="1"/>
    <xf numFmtId="0" fontId="22" fillId="0" borderId="0" xfId="7" applyFont="1" applyBorder="1" applyAlignment="1">
      <alignment horizontal="center" vertical="center"/>
    </xf>
    <xf numFmtId="0" fontId="22" fillId="15" borderId="59" xfId="7" applyFont="1" applyFill="1" applyBorder="1"/>
    <xf numFmtId="0" fontId="22" fillId="15" borderId="59" xfId="7" applyFont="1" applyFill="1" applyBorder="1" applyAlignment="1">
      <alignment horizontal="center" vertical="center"/>
    </xf>
    <xf numFmtId="0" fontId="33" fillId="15" borderId="59" xfId="7" applyFont="1" applyFill="1" applyBorder="1" applyAlignment="1">
      <alignment wrapText="1"/>
    </xf>
    <xf numFmtId="0" fontId="22" fillId="15" borderId="59" xfId="7" applyFont="1" applyFill="1" applyBorder="1" applyAlignment="1">
      <alignment wrapText="1"/>
    </xf>
    <xf numFmtId="0" fontId="21" fillId="27" borderId="66" xfId="7" applyFont="1" applyFill="1" applyBorder="1" applyAlignment="1">
      <alignment wrapText="1"/>
    </xf>
    <xf numFmtId="0" fontId="22" fillId="0" borderId="67" xfId="7" applyFont="1" applyBorder="1" applyAlignment="1">
      <alignment horizontal="center" vertical="center"/>
    </xf>
    <xf numFmtId="0" fontId="22" fillId="27" borderId="67" xfId="7" applyFont="1" applyFill="1" applyBorder="1" applyAlignment="1">
      <alignment wrapText="1"/>
    </xf>
    <xf numFmtId="0" fontId="22" fillId="18" borderId="68" xfId="7" applyFont="1" applyFill="1" applyBorder="1" applyAlignment="1">
      <alignment wrapText="1"/>
    </xf>
    <xf numFmtId="0" fontId="22" fillId="18" borderId="68" xfId="7" applyFont="1" applyFill="1" applyBorder="1"/>
    <xf numFmtId="4" fontId="21" fillId="27" borderId="68" xfId="7" applyNumberFormat="1" applyFont="1" applyFill="1" applyBorder="1"/>
    <xf numFmtId="4" fontId="21" fillId="0" borderId="68" xfId="7" applyNumberFormat="1" applyFont="1" applyBorder="1"/>
    <xf numFmtId="0" fontId="22" fillId="0" borderId="69" xfId="7" applyFont="1" applyBorder="1"/>
    <xf numFmtId="0" fontId="22" fillId="0" borderId="70" xfId="7" applyFont="1" applyBorder="1"/>
    <xf numFmtId="0" fontId="22" fillId="0" borderId="71" xfId="7" applyFont="1" applyBorder="1"/>
    <xf numFmtId="0" fontId="21" fillId="22" borderId="75" xfId="7" applyFont="1" applyFill="1" applyBorder="1" applyAlignment="1">
      <alignment vertical="top"/>
    </xf>
    <xf numFmtId="0" fontId="22" fillId="22" borderId="76" xfId="7" applyFont="1" applyFill="1" applyBorder="1" applyAlignment="1">
      <alignment horizontal="center" vertical="center"/>
    </xf>
    <xf numFmtId="0" fontId="22" fillId="0" borderId="76" xfId="7" applyFont="1" applyBorder="1" applyAlignment="1">
      <alignment vertical="top" wrapText="1"/>
    </xf>
    <xf numFmtId="0" fontId="22" fillId="18" borderId="76" xfId="7" applyFont="1" applyFill="1" applyBorder="1" applyAlignment="1">
      <alignment vertical="top"/>
    </xf>
    <xf numFmtId="3" fontId="22" fillId="18" borderId="76" xfId="7" applyNumberFormat="1" applyFont="1" applyFill="1" applyBorder="1" applyAlignment="1">
      <alignment vertical="top"/>
    </xf>
    <xf numFmtId="169" fontId="22" fillId="18" borderId="76" xfId="1" applyNumberFormat="1" applyFont="1" applyFill="1" applyBorder="1" applyAlignment="1">
      <alignment vertical="top"/>
    </xf>
    <xf numFmtId="169" fontId="23" fillId="18" borderId="76" xfId="1" applyNumberFormat="1" applyFont="1" applyFill="1" applyBorder="1" applyAlignment="1">
      <alignment vertical="top"/>
    </xf>
    <xf numFmtId="169" fontId="23" fillId="0" borderId="76" xfId="1" applyNumberFormat="1" applyFont="1" applyBorder="1" applyAlignment="1">
      <alignment vertical="top"/>
    </xf>
    <xf numFmtId="0" fontId="23" fillId="0" borderId="77" xfId="7" applyFont="1" applyBorder="1" applyAlignment="1">
      <alignment horizontal="left" vertical="top" wrapText="1"/>
    </xf>
    <xf numFmtId="0" fontId="22" fillId="0" borderId="78" xfId="7" applyFont="1" applyBorder="1"/>
    <xf numFmtId="0" fontId="23" fillId="0" borderId="79" xfId="7" applyFont="1" applyBorder="1" applyAlignment="1">
      <alignment horizontal="left" vertical="top" wrapText="1"/>
    </xf>
    <xf numFmtId="0" fontId="22" fillId="0" borderId="78" xfId="7" applyFont="1" applyBorder="1" applyAlignment="1">
      <alignment vertical="top"/>
    </xf>
    <xf numFmtId="0" fontId="23" fillId="0" borderId="80" xfId="7" applyFont="1" applyBorder="1" applyAlignment="1">
      <alignment horizontal="left" vertical="top" wrapText="1"/>
    </xf>
    <xf numFmtId="3" fontId="20" fillId="0" borderId="80" xfId="7" applyNumberFormat="1" applyFont="1" applyBorder="1" applyAlignment="1">
      <alignment horizontal="left" vertical="top"/>
    </xf>
    <xf numFmtId="0" fontId="21" fillId="21" borderId="78" xfId="7" applyFont="1" applyFill="1" applyBorder="1" applyAlignment="1">
      <alignment vertical="top"/>
    </xf>
    <xf numFmtId="0" fontId="21" fillId="0" borderId="78" xfId="7" applyFont="1" applyFill="1" applyBorder="1" applyAlignment="1">
      <alignment vertical="top"/>
    </xf>
    <xf numFmtId="0" fontId="23" fillId="0" borderId="81" xfId="7" applyFont="1" applyBorder="1" applyAlignment="1">
      <alignment horizontal="left" vertical="top" wrapText="1"/>
    </xf>
    <xf numFmtId="3" fontId="20" fillId="0" borderId="82" xfId="7" applyNumberFormat="1" applyFont="1" applyBorder="1" applyAlignment="1">
      <alignment horizontal="left" vertical="top"/>
    </xf>
    <xf numFmtId="0" fontId="21" fillId="12" borderId="78" xfId="7" applyFont="1" applyFill="1" applyBorder="1" applyAlignment="1">
      <alignment vertical="top"/>
    </xf>
    <xf numFmtId="0" fontId="21" fillId="25" borderId="78" xfId="7" applyFont="1" applyFill="1" applyBorder="1" applyAlignment="1">
      <alignment vertical="top"/>
    </xf>
    <xf numFmtId="3" fontId="20" fillId="0" borderId="80" xfId="7" applyNumberFormat="1" applyFont="1" applyBorder="1" applyAlignment="1">
      <alignment vertical="top"/>
    </xf>
    <xf numFmtId="0" fontId="0" fillId="0" borderId="83" xfId="0" applyBorder="1"/>
    <xf numFmtId="0" fontId="0" fillId="0" borderId="84" xfId="0" applyBorder="1"/>
    <xf numFmtId="0" fontId="0" fillId="0" borderId="85" xfId="0" applyBorder="1"/>
    <xf numFmtId="0" fontId="22" fillId="0" borderId="57" xfId="7" applyFont="1" applyBorder="1" applyAlignment="1">
      <alignment horizontal="center" vertical="center"/>
    </xf>
    <xf numFmtId="0" fontId="22" fillId="0" borderId="57" xfId="7" applyFont="1" applyBorder="1" applyAlignment="1">
      <alignment wrapText="1"/>
    </xf>
    <xf numFmtId="0" fontId="22" fillId="18" borderId="57" xfId="7" applyFont="1" applyFill="1" applyBorder="1" applyAlignment="1">
      <alignment wrapText="1"/>
    </xf>
    <xf numFmtId="0" fontId="22" fillId="18" borderId="57" xfId="7" applyFont="1" applyFill="1" applyBorder="1"/>
    <xf numFmtId="0" fontId="22" fillId="0" borderId="86" xfId="7" applyFont="1" applyBorder="1"/>
    <xf numFmtId="0" fontId="22" fillId="0" borderId="87" xfId="7" applyFont="1" applyBorder="1" applyAlignment="1">
      <alignment horizontal="center" vertical="center"/>
    </xf>
    <xf numFmtId="0" fontId="21" fillId="0" borderId="87" xfId="7" applyFont="1" applyBorder="1" applyAlignment="1">
      <alignment wrapText="1"/>
    </xf>
    <xf numFmtId="0" fontId="22" fillId="18" borderId="87" xfId="7" applyFont="1" applyFill="1" applyBorder="1" applyAlignment="1">
      <alignment wrapText="1"/>
    </xf>
    <xf numFmtId="0" fontId="22" fillId="18" borderId="87" xfId="7" applyFont="1" applyFill="1" applyBorder="1"/>
    <xf numFmtId="4" fontId="22" fillId="0" borderId="88" xfId="7" applyNumberFormat="1" applyFont="1" applyBorder="1"/>
    <xf numFmtId="0" fontId="22" fillId="0" borderId="89" xfId="7" applyFont="1" applyBorder="1"/>
    <xf numFmtId="0" fontId="22" fillId="0" borderId="90" xfId="7" applyFont="1" applyBorder="1"/>
    <xf numFmtId="0" fontId="22" fillId="0" borderId="91" xfId="7" applyFont="1" applyBorder="1"/>
    <xf numFmtId="0" fontId="12" fillId="0" borderId="92" xfId="0" applyFont="1" applyBorder="1" applyAlignment="1">
      <alignment horizontal="left" vertical="top"/>
    </xf>
    <xf numFmtId="4" fontId="22" fillId="0" borderId="0" xfId="7" applyNumberFormat="1" applyFont="1" applyBorder="1"/>
    <xf numFmtId="0" fontId="22" fillId="0" borderId="93" xfId="7" applyFont="1" applyBorder="1" applyAlignment="1">
      <alignment vertical="top"/>
    </xf>
    <xf numFmtId="4" fontId="22" fillId="8" borderId="0" xfId="7" applyNumberFormat="1" applyFont="1" applyFill="1" applyBorder="1"/>
    <xf numFmtId="0" fontId="23" fillId="0" borderId="94" xfId="7" applyFont="1" applyBorder="1" applyAlignment="1">
      <alignment horizontal="left" vertical="top" wrapText="1"/>
    </xf>
    <xf numFmtId="0" fontId="22" fillId="0" borderId="95" xfId="7" applyFont="1" applyBorder="1"/>
    <xf numFmtId="0" fontId="22" fillId="0" borderId="96" xfId="7" applyFont="1" applyBorder="1" applyAlignment="1">
      <alignment horizontal="center" vertical="center"/>
    </xf>
    <xf numFmtId="0" fontId="21" fillId="0" borderId="96" xfId="7" applyFont="1" applyBorder="1" applyAlignment="1">
      <alignment wrapText="1"/>
    </xf>
    <xf numFmtId="0" fontId="21" fillId="18" borderId="96" xfId="7" applyFont="1" applyFill="1" applyBorder="1" applyAlignment="1">
      <alignment wrapText="1"/>
    </xf>
    <xf numFmtId="0" fontId="21" fillId="18" borderId="96" xfId="7" applyFont="1" applyFill="1" applyBorder="1"/>
    <xf numFmtId="4" fontId="21" fillId="0" borderId="97" xfId="7" applyNumberFormat="1" applyFont="1" applyBorder="1"/>
    <xf numFmtId="0" fontId="22" fillId="0" borderId="98" xfId="7" applyFont="1" applyBorder="1"/>
    <xf numFmtId="0" fontId="14" fillId="0" borderId="8" xfId="0" applyFont="1" applyBorder="1" applyAlignment="1">
      <alignment wrapText="1"/>
    </xf>
    <xf numFmtId="0" fontId="14" fillId="0" borderId="8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4" fontId="13" fillId="0" borderId="13" xfId="0" applyNumberFormat="1" applyFont="1" applyBorder="1"/>
    <xf numFmtId="4" fontId="14" fillId="0" borderId="11" xfId="0" applyNumberFormat="1" applyFont="1" applyBorder="1" applyAlignment="1">
      <alignment horizontal="right" vertical="center"/>
    </xf>
    <xf numFmtId="4" fontId="13" fillId="0" borderId="11" xfId="0" applyNumberFormat="1" applyFont="1" applyBorder="1" applyAlignment="1">
      <alignment horizontal="right" vertical="center"/>
    </xf>
    <xf numFmtId="0" fontId="0" fillId="0" borderId="0" xfId="0" applyBorder="1"/>
    <xf numFmtId="0" fontId="14" fillId="0" borderId="5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22" fillId="0" borderId="99" xfId="7" applyFont="1" applyBorder="1"/>
    <xf numFmtId="0" fontId="22" fillId="0" borderId="100" xfId="7" applyFont="1" applyBorder="1"/>
    <xf numFmtId="0" fontId="22" fillId="0" borderId="102" xfId="7" applyFont="1" applyBorder="1"/>
    <xf numFmtId="0" fontId="21" fillId="14" borderId="23" xfId="7" applyFont="1" applyFill="1" applyBorder="1" applyAlignment="1">
      <alignment horizontal="left" vertical="center"/>
    </xf>
    <xf numFmtId="0" fontId="29" fillId="0" borderId="6" xfId="6" applyFont="1" applyBorder="1" applyAlignment="1">
      <alignment horizontal="center" vertical="center" wrapText="1"/>
    </xf>
    <xf numFmtId="0" fontId="29" fillId="5" borderId="5" xfId="6" applyFont="1" applyFill="1" applyBorder="1"/>
    <xf numFmtId="0" fontId="28" fillId="0" borderId="5" xfId="6" applyFont="1" applyBorder="1"/>
    <xf numFmtId="0" fontId="29" fillId="0" borderId="22" xfId="6" applyFont="1" applyBorder="1"/>
    <xf numFmtId="0" fontId="28" fillId="0" borderId="2" xfId="6" applyFont="1" applyBorder="1"/>
    <xf numFmtId="0" fontId="29" fillId="0" borderId="6" xfId="6" applyFont="1" applyBorder="1" applyAlignment="1">
      <alignment horizontal="center" vertical="center"/>
    </xf>
    <xf numFmtId="0" fontId="29" fillId="8" borderId="0" xfId="6" applyFont="1" applyFill="1" applyBorder="1"/>
    <xf numFmtId="4" fontId="13" fillId="0" borderId="103" xfId="0" applyNumberFormat="1" applyFont="1" applyBorder="1"/>
    <xf numFmtId="4" fontId="14" fillId="0" borderId="104" xfId="0" applyNumberFormat="1" applyFont="1" applyBorder="1" applyAlignment="1">
      <alignment horizontal="right" vertical="center"/>
    </xf>
    <xf numFmtId="4" fontId="13" fillId="0" borderId="104" xfId="0" applyNumberFormat="1" applyFont="1" applyBorder="1" applyAlignment="1">
      <alignment horizontal="right" vertical="center"/>
    </xf>
    <xf numFmtId="0" fontId="0" fillId="0" borderId="105" xfId="0" applyBorder="1"/>
    <xf numFmtId="0" fontId="14" fillId="0" borderId="106" xfId="0" applyFont="1" applyBorder="1" applyAlignment="1">
      <alignment horizontal="center" vertical="center" wrapText="1"/>
    </xf>
    <xf numFmtId="0" fontId="14" fillId="0" borderId="105" xfId="0" applyFont="1" applyBorder="1" applyAlignment="1">
      <alignment horizontal="center" vertical="center" wrapText="1"/>
    </xf>
    <xf numFmtId="0" fontId="14" fillId="0" borderId="107" xfId="0" applyFont="1" applyBorder="1" applyAlignment="1">
      <alignment horizontal="center" vertical="center" wrapText="1"/>
    </xf>
    <xf numFmtId="4" fontId="13" fillId="0" borderId="108" xfId="0" applyNumberFormat="1" applyFont="1" applyBorder="1"/>
    <xf numFmtId="4" fontId="14" fillId="0" borderId="109" xfId="0" applyNumberFormat="1" applyFont="1" applyBorder="1" applyAlignment="1">
      <alignment horizontal="right" vertical="center"/>
    </xf>
    <xf numFmtId="4" fontId="13" fillId="0" borderId="109" xfId="0" applyNumberFormat="1" applyFont="1" applyBorder="1" applyAlignment="1">
      <alignment horizontal="right" vertical="center"/>
    </xf>
    <xf numFmtId="0" fontId="0" fillId="0" borderId="110" xfId="0" applyBorder="1"/>
    <xf numFmtId="0" fontId="14" fillId="0" borderId="111" xfId="0" applyFont="1" applyBorder="1" applyAlignment="1">
      <alignment horizontal="center" vertical="center" wrapText="1"/>
    </xf>
    <xf numFmtId="0" fontId="14" fillId="0" borderId="110" xfId="0" applyFont="1" applyBorder="1" applyAlignment="1">
      <alignment horizontal="center" vertical="center" wrapText="1"/>
    </xf>
    <xf numFmtId="0" fontId="14" fillId="0" borderId="112" xfId="0" applyFont="1" applyBorder="1" applyAlignment="1">
      <alignment horizontal="center" vertical="center" wrapText="1"/>
    </xf>
    <xf numFmtId="4" fontId="13" fillId="0" borderId="113" xfId="0" applyNumberFormat="1" applyFont="1" applyBorder="1"/>
    <xf numFmtId="4" fontId="14" fillId="0" borderId="114" xfId="0" applyNumberFormat="1" applyFont="1" applyBorder="1" applyAlignment="1">
      <alignment horizontal="right" vertical="center"/>
    </xf>
    <xf numFmtId="4" fontId="13" fillId="0" borderId="114" xfId="0" applyNumberFormat="1" applyFont="1" applyBorder="1" applyAlignment="1">
      <alignment horizontal="right" vertical="center"/>
    </xf>
    <xf numFmtId="0" fontId="0" fillId="0" borderId="115" xfId="0" applyBorder="1"/>
    <xf numFmtId="0" fontId="14" fillId="0" borderId="116" xfId="0" applyFont="1" applyBorder="1" applyAlignment="1">
      <alignment horizontal="center" vertical="center" wrapText="1"/>
    </xf>
    <xf numFmtId="0" fontId="14" fillId="0" borderId="115" xfId="0" applyFont="1" applyBorder="1" applyAlignment="1">
      <alignment horizontal="center" vertical="center" wrapText="1"/>
    </xf>
    <xf numFmtId="0" fontId="14" fillId="0" borderId="117" xfId="0" applyFont="1" applyBorder="1" applyAlignment="1">
      <alignment horizontal="center" vertical="center" wrapText="1"/>
    </xf>
    <xf numFmtId="43" fontId="23" fillId="22" borderId="76" xfId="1" applyNumberFormat="1" applyFont="1" applyFill="1" applyBorder="1" applyAlignment="1">
      <alignment vertical="top"/>
    </xf>
    <xf numFmtId="43" fontId="23" fillId="22" borderId="25" xfId="1" applyNumberFormat="1" applyFont="1" applyFill="1" applyBorder="1" applyAlignment="1">
      <alignment vertical="top"/>
    </xf>
    <xf numFmtId="43" fontId="23" fillId="22" borderId="23" xfId="1" applyNumberFormat="1" applyFont="1" applyFill="1" applyBorder="1" applyAlignment="1">
      <alignment vertical="top"/>
    </xf>
    <xf numFmtId="43" fontId="23" fillId="22" borderId="24" xfId="1" applyNumberFormat="1" applyFont="1" applyFill="1" applyBorder="1" applyAlignment="1">
      <alignment vertical="top"/>
    </xf>
    <xf numFmtId="43" fontId="20" fillId="22" borderId="25" xfId="7" applyNumberFormat="1" applyFont="1" applyFill="1" applyBorder="1" applyAlignment="1">
      <alignment vertical="top"/>
    </xf>
    <xf numFmtId="43" fontId="23" fillId="21" borderId="23" xfId="1" applyNumberFormat="1" applyFont="1" applyFill="1" applyBorder="1" applyAlignment="1">
      <alignment vertical="top"/>
    </xf>
    <xf numFmtId="43" fontId="23" fillId="21" borderId="26" xfId="1" applyNumberFormat="1" applyFont="1" applyFill="1" applyBorder="1" applyAlignment="1">
      <alignment vertical="top"/>
    </xf>
    <xf numFmtId="43" fontId="23" fillId="19" borderId="26" xfId="1" applyNumberFormat="1" applyFont="1" applyFill="1" applyBorder="1" applyAlignment="1">
      <alignment vertical="top"/>
    </xf>
    <xf numFmtId="43" fontId="23" fillId="12" borderId="23" xfId="1" applyNumberFormat="1" applyFont="1" applyFill="1" applyBorder="1" applyAlignment="1">
      <alignment vertical="top"/>
    </xf>
    <xf numFmtId="43" fontId="23" fillId="12" borderId="26" xfId="1" applyNumberFormat="1" applyFont="1" applyFill="1" applyBorder="1" applyAlignment="1">
      <alignment vertical="top"/>
    </xf>
    <xf numFmtId="43" fontId="23" fillId="12" borderId="24" xfId="1" applyNumberFormat="1" applyFont="1" applyFill="1" applyBorder="1" applyAlignment="1">
      <alignment vertical="top"/>
    </xf>
    <xf numFmtId="43" fontId="20" fillId="12" borderId="25" xfId="7" applyNumberFormat="1" applyFont="1" applyFill="1" applyBorder="1" applyAlignment="1">
      <alignment vertical="top"/>
    </xf>
    <xf numFmtId="43" fontId="23" fillId="25" borderId="23" xfId="1" applyNumberFormat="1" applyFont="1" applyFill="1" applyBorder="1" applyAlignment="1">
      <alignment vertical="top"/>
    </xf>
    <xf numFmtId="43" fontId="23" fillId="25" borderId="24" xfId="1" applyNumberFormat="1" applyFont="1" applyFill="1" applyBorder="1" applyAlignment="1">
      <alignment vertical="top"/>
    </xf>
    <xf numFmtId="43" fontId="20" fillId="25" borderId="25" xfId="7" applyNumberFormat="1" applyFont="1" applyFill="1" applyBorder="1" applyAlignment="1">
      <alignment vertical="top"/>
    </xf>
    <xf numFmtId="43" fontId="21" fillId="26" borderId="27" xfId="7" applyNumberFormat="1" applyFont="1" applyFill="1" applyBorder="1" applyAlignment="1">
      <alignment vertical="top"/>
    </xf>
    <xf numFmtId="43" fontId="23" fillId="19" borderId="23" xfId="1" applyNumberFormat="1" applyFont="1" applyFill="1" applyBorder="1" applyAlignment="1">
      <alignment vertical="top"/>
    </xf>
    <xf numFmtId="43" fontId="20" fillId="19" borderId="61" xfId="7" applyNumberFormat="1" applyFont="1" applyFill="1" applyBorder="1" applyAlignment="1">
      <alignment vertical="top"/>
    </xf>
    <xf numFmtId="43" fontId="23" fillId="18" borderId="25" xfId="1" applyNumberFormat="1" applyFont="1" applyFill="1" applyBorder="1" applyAlignment="1">
      <alignment vertical="top"/>
    </xf>
    <xf numFmtId="43" fontId="23" fillId="20" borderId="23" xfId="1" applyNumberFormat="1" applyFont="1" applyFill="1" applyBorder="1" applyAlignment="1">
      <alignment vertical="top"/>
    </xf>
    <xf numFmtId="43" fontId="20" fillId="20" borderId="62" xfId="7" applyNumberFormat="1" applyFont="1" applyFill="1" applyBorder="1" applyAlignment="1">
      <alignment vertical="top"/>
    </xf>
    <xf numFmtId="43" fontId="21" fillId="0" borderId="0" xfId="7" applyNumberFormat="1" applyFont="1"/>
    <xf numFmtId="4" fontId="22" fillId="17" borderId="88" xfId="7" applyNumberFormat="1" applyFont="1" applyFill="1" applyBorder="1"/>
    <xf numFmtId="4" fontId="14" fillId="0" borderId="118" xfId="0" applyNumberFormat="1" applyFont="1" applyBorder="1"/>
    <xf numFmtId="4" fontId="14" fillId="0" borderId="118" xfId="0" applyNumberFormat="1" applyFont="1" applyBorder="1" applyAlignment="1">
      <alignment horizontal="right" vertical="center"/>
    </xf>
    <xf numFmtId="0" fontId="14" fillId="0" borderId="119" xfId="0" applyFont="1" applyBorder="1" applyAlignment="1">
      <alignment horizontal="center" vertical="center" wrapText="1"/>
    </xf>
    <xf numFmtId="0" fontId="14" fillId="0" borderId="101" xfId="0" applyFont="1" applyBorder="1" applyAlignment="1">
      <alignment horizontal="center" vertical="center" wrapText="1"/>
    </xf>
    <xf numFmtId="0" fontId="14" fillId="0" borderId="120" xfId="0" applyFont="1" applyBorder="1" applyAlignment="1">
      <alignment horizontal="center" vertical="center" wrapText="1"/>
    </xf>
    <xf numFmtId="8" fontId="19" fillId="0" borderId="54" xfId="1" applyNumberFormat="1" applyFont="1" applyBorder="1"/>
    <xf numFmtId="0" fontId="13" fillId="0" borderId="5" xfId="0" applyFont="1" applyBorder="1" applyAlignment="1">
      <alignment horizontal="left" vertical="top"/>
    </xf>
    <xf numFmtId="0" fontId="13" fillId="0" borderId="0" xfId="0" applyFont="1" applyAlignment="1">
      <alignment horizontal="left" vertical="top"/>
    </xf>
    <xf numFmtId="4" fontId="22" fillId="0" borderId="121" xfId="7" applyNumberFormat="1" applyFont="1" applyBorder="1"/>
    <xf numFmtId="0" fontId="22" fillId="0" borderId="122" xfId="7" applyFont="1" applyBorder="1"/>
    <xf numFmtId="0" fontId="22" fillId="0" borderId="0" xfId="7" applyFont="1" applyBorder="1"/>
    <xf numFmtId="0" fontId="22" fillId="0" borderId="123" xfId="7" applyFont="1" applyBorder="1"/>
    <xf numFmtId="0" fontId="21" fillId="0" borderId="124" xfId="7" applyFont="1" applyBorder="1"/>
    <xf numFmtId="169" fontId="23" fillId="0" borderId="125" xfId="1" applyNumberFormat="1" applyFont="1" applyBorder="1" applyAlignment="1">
      <alignment vertical="top"/>
    </xf>
    <xf numFmtId="169" fontId="23" fillId="0" borderId="126" xfId="1" applyNumberFormat="1" applyFont="1" applyBorder="1" applyAlignment="1">
      <alignment vertical="top"/>
    </xf>
    <xf numFmtId="4" fontId="21" fillId="0" borderId="127" xfId="7" applyNumberFormat="1" applyFont="1" applyBorder="1"/>
    <xf numFmtId="4" fontId="21" fillId="0" borderId="128" xfId="7" applyNumberFormat="1" applyFont="1" applyBorder="1"/>
    <xf numFmtId="4" fontId="21" fillId="0" borderId="67" xfId="7" applyNumberFormat="1" applyFont="1" applyBorder="1"/>
    <xf numFmtId="0" fontId="29" fillId="10" borderId="22" xfId="6" applyFont="1" applyFill="1" applyBorder="1" applyAlignment="1">
      <alignment horizontal="center" vertical="center"/>
    </xf>
    <xf numFmtId="0" fontId="29" fillId="10" borderId="10" xfId="6" applyFont="1" applyFill="1" applyBorder="1" applyAlignment="1">
      <alignment horizontal="center" vertical="center"/>
    </xf>
    <xf numFmtId="0" fontId="29" fillId="11" borderId="5" xfId="6" applyFont="1" applyFill="1" applyBorder="1" applyAlignment="1">
      <alignment horizontal="center"/>
    </xf>
    <xf numFmtId="0" fontId="29" fillId="11" borderId="0" xfId="6" applyFont="1" applyFill="1" applyAlignment="1">
      <alignment horizontal="center"/>
    </xf>
    <xf numFmtId="43" fontId="29" fillId="0" borderId="0" xfId="6" applyNumberFormat="1" applyFont="1" applyAlignment="1">
      <alignment horizontal="right"/>
    </xf>
    <xf numFmtId="0" fontId="29" fillId="9" borderId="5" xfId="6" applyFont="1" applyFill="1" applyBorder="1" applyAlignment="1">
      <alignment horizontal="center" vertical="center"/>
    </xf>
    <xf numFmtId="0" fontId="29" fillId="9" borderId="0" xfId="6" applyFont="1" applyFill="1" applyBorder="1" applyAlignment="1">
      <alignment horizontal="center" vertical="center"/>
    </xf>
    <xf numFmtId="0" fontId="3" fillId="3" borderId="44" xfId="0" applyFont="1" applyFill="1" applyBorder="1" applyAlignment="1">
      <alignment horizontal="left"/>
    </xf>
    <xf numFmtId="0" fontId="3" fillId="3" borderId="45" xfId="0" applyFont="1" applyFill="1" applyBorder="1" applyAlignment="1">
      <alignment horizontal="left"/>
    </xf>
    <xf numFmtId="0" fontId="3" fillId="3" borderId="46" xfId="0" applyFont="1" applyFill="1" applyBorder="1" applyAlignment="1">
      <alignment horizontal="left"/>
    </xf>
    <xf numFmtId="0" fontId="3" fillId="4" borderId="22" xfId="0" applyFont="1" applyFill="1" applyBorder="1" applyAlignment="1">
      <alignment horizontal="center"/>
    </xf>
    <xf numFmtId="0" fontId="3" fillId="4" borderId="10" xfId="0" applyFont="1" applyFill="1" applyBorder="1" applyAlignment="1">
      <alignment horizontal="center"/>
    </xf>
    <xf numFmtId="0" fontId="3" fillId="4" borderId="15" xfId="0" applyFont="1" applyFill="1" applyBorder="1" applyAlignment="1">
      <alignment horizontal="center"/>
    </xf>
    <xf numFmtId="0" fontId="3" fillId="6" borderId="22" xfId="0" applyFont="1" applyFill="1" applyBorder="1" applyAlignment="1">
      <alignment horizontal="center"/>
    </xf>
    <xf numFmtId="0" fontId="3" fillId="6" borderId="10" xfId="0" applyFont="1" applyFill="1" applyBorder="1" applyAlignment="1">
      <alignment horizontal="center"/>
    </xf>
    <xf numFmtId="0" fontId="3" fillId="6" borderId="15" xfId="0" applyFont="1" applyFill="1" applyBorder="1" applyAlignment="1">
      <alignment horizontal="center"/>
    </xf>
    <xf numFmtId="0" fontId="13" fillId="0" borderId="35" xfId="0" applyFont="1" applyBorder="1" applyAlignment="1">
      <alignment horizontal="left"/>
    </xf>
    <xf numFmtId="0" fontId="13" fillId="0" borderId="36" xfId="0" applyFont="1" applyBorder="1" applyAlignment="1">
      <alignment horizontal="left"/>
    </xf>
    <xf numFmtId="0" fontId="13" fillId="0" borderId="37" xfId="0" applyFont="1" applyBorder="1" applyAlignment="1">
      <alignment horizontal="left"/>
    </xf>
    <xf numFmtId="0" fontId="13" fillId="0" borderId="40" xfId="0" applyFont="1" applyBorder="1" applyAlignment="1">
      <alignment horizontal="left"/>
    </xf>
    <xf numFmtId="0" fontId="13" fillId="0" borderId="41" xfId="0" applyFont="1" applyBorder="1" applyAlignment="1">
      <alignment horizontal="left"/>
    </xf>
    <xf numFmtId="0" fontId="13" fillId="0" borderId="38" xfId="0" applyFont="1" applyBorder="1" applyAlignment="1">
      <alignment horizontal="left"/>
    </xf>
    <xf numFmtId="0" fontId="13" fillId="0" borderId="42" xfId="0" applyFont="1" applyBorder="1" applyAlignment="1">
      <alignment horizontal="left"/>
    </xf>
    <xf numFmtId="0" fontId="13" fillId="0" borderId="43" xfId="0" applyFont="1" applyBorder="1" applyAlignment="1">
      <alignment horizontal="left"/>
    </xf>
    <xf numFmtId="0" fontId="13" fillId="0" borderId="39" xfId="0" applyFont="1" applyBorder="1" applyAlignment="1">
      <alignment horizontal="left"/>
    </xf>
    <xf numFmtId="0" fontId="0" fillId="0" borderId="72" xfId="0" applyBorder="1"/>
    <xf numFmtId="0" fontId="0" fillId="0" borderId="73" xfId="0" applyBorder="1"/>
    <xf numFmtId="0" fontId="0" fillId="0" borderId="74" xfId="0" applyBorder="1"/>
    <xf numFmtId="0" fontId="21" fillId="19" borderId="129" xfId="7" applyFont="1" applyFill="1" applyBorder="1" applyAlignment="1">
      <alignment vertical="top"/>
    </xf>
    <xf numFmtId="0" fontId="22" fillId="19" borderId="130" xfId="7" applyFont="1" applyFill="1" applyBorder="1" applyAlignment="1">
      <alignment horizontal="center" vertical="center"/>
    </xf>
    <xf numFmtId="0" fontId="23" fillId="0" borderId="131" xfId="7" applyFont="1" applyBorder="1" applyAlignment="1">
      <alignment horizontal="right" vertical="top" wrapText="1"/>
    </xf>
    <xf numFmtId="3" fontId="22" fillId="18" borderId="130" xfId="7" applyNumberFormat="1" applyFont="1" applyFill="1" applyBorder="1" applyAlignment="1">
      <alignment vertical="top"/>
    </xf>
    <xf numFmtId="169" fontId="22" fillId="18" borderId="130" xfId="1" applyNumberFormat="1" applyFont="1" applyFill="1" applyBorder="1" applyAlignment="1">
      <alignment vertical="top"/>
    </xf>
    <xf numFmtId="169" fontId="23" fillId="18" borderId="130" xfId="1" applyNumberFormat="1" applyFont="1" applyFill="1" applyBorder="1" applyAlignment="1">
      <alignment vertical="top"/>
    </xf>
    <xf numFmtId="43" fontId="23" fillId="19" borderId="130" xfId="1" applyNumberFormat="1" applyFont="1" applyFill="1" applyBorder="1" applyAlignment="1">
      <alignment vertical="top"/>
    </xf>
    <xf numFmtId="169" fontId="23" fillId="0" borderId="130" xfId="1" applyNumberFormat="1" applyFont="1" applyBorder="1" applyAlignment="1">
      <alignment vertical="top"/>
    </xf>
    <xf numFmtId="0" fontId="23" fillId="0" borderId="132" xfId="7" applyFont="1" applyBorder="1" applyAlignment="1">
      <alignment horizontal="left" vertical="top" wrapText="1"/>
    </xf>
    <xf numFmtId="0" fontId="22" fillId="0" borderId="133" xfId="7" applyFont="1" applyBorder="1" applyAlignment="1">
      <alignment vertical="top"/>
    </xf>
    <xf numFmtId="0" fontId="23" fillId="0" borderId="134" xfId="7" applyFont="1" applyBorder="1" applyAlignment="1">
      <alignment horizontal="left" vertical="top" wrapText="1"/>
    </xf>
    <xf numFmtId="0" fontId="23" fillId="0" borderId="135" xfId="7" applyFont="1" applyBorder="1" applyAlignment="1">
      <alignment horizontal="left" vertical="top" wrapText="1"/>
    </xf>
    <xf numFmtId="3" fontId="20" fillId="0" borderId="134" xfId="7" applyNumberFormat="1" applyFont="1" applyBorder="1" applyAlignment="1">
      <alignment horizontal="left" vertical="top"/>
    </xf>
    <xf numFmtId="0" fontId="21" fillId="20" borderId="133" xfId="7" applyFont="1" applyFill="1" applyBorder="1" applyAlignment="1">
      <alignment vertical="top"/>
    </xf>
    <xf numFmtId="3" fontId="20" fillId="0" borderId="136" xfId="7" applyNumberFormat="1" applyFont="1" applyBorder="1" applyAlignment="1">
      <alignment horizontal="left" vertical="top"/>
    </xf>
    <xf numFmtId="0" fontId="22" fillId="0" borderId="137" xfId="7" applyFont="1" applyBorder="1"/>
    <xf numFmtId="0" fontId="22" fillId="0" borderId="138" xfId="7" applyFont="1" applyBorder="1" applyAlignment="1">
      <alignment horizontal="center" vertical="center"/>
    </xf>
    <xf numFmtId="0" fontId="21" fillId="0" borderId="138" xfId="7" applyFont="1" applyBorder="1" applyAlignment="1">
      <alignment wrapText="1"/>
    </xf>
    <xf numFmtId="0" fontId="22" fillId="0" borderId="138" xfId="7" applyFont="1" applyBorder="1" applyAlignment="1">
      <alignment wrapText="1"/>
    </xf>
    <xf numFmtId="0" fontId="22" fillId="0" borderId="138" xfId="7" applyFont="1" applyBorder="1"/>
    <xf numFmtId="43" fontId="22" fillId="0" borderId="138" xfId="7" applyNumberFormat="1" applyFont="1" applyBorder="1"/>
    <xf numFmtId="3" fontId="22" fillId="0" borderId="138" xfId="7" applyNumberFormat="1" applyFont="1" applyBorder="1"/>
    <xf numFmtId="0" fontId="22" fillId="0" borderId="139" xfId="7" applyFont="1" applyBorder="1"/>
    <xf numFmtId="0" fontId="22" fillId="0" borderId="140" xfId="7" applyFont="1" applyBorder="1"/>
    <xf numFmtId="4" fontId="13" fillId="0" borderId="141" xfId="0" applyNumberFormat="1" applyFont="1" applyBorder="1"/>
    <xf numFmtId="4" fontId="14" fillId="0" borderId="142" xfId="5" applyNumberFormat="1" applyFont="1" applyBorder="1" applyAlignment="1">
      <alignment vertical="center"/>
    </xf>
    <xf numFmtId="4" fontId="13" fillId="0" borderId="143" xfId="0" applyNumberFormat="1" applyFont="1" applyBorder="1" applyAlignment="1">
      <alignment horizontal="right" vertical="center"/>
    </xf>
    <xf numFmtId="0" fontId="0" fillId="0" borderId="142" xfId="0" applyBorder="1"/>
    <xf numFmtId="0" fontId="14" fillId="0" borderId="144" xfId="0" applyFont="1" applyBorder="1" applyAlignment="1">
      <alignment horizontal="center" vertical="center" wrapText="1"/>
    </xf>
    <xf numFmtId="0" fontId="14" fillId="0" borderId="142" xfId="0" applyFont="1" applyBorder="1" applyAlignment="1">
      <alignment horizontal="center" vertical="center" wrapText="1"/>
    </xf>
    <xf numFmtId="0" fontId="14" fillId="0" borderId="145" xfId="0" applyFont="1" applyBorder="1" applyAlignment="1">
      <alignment horizontal="center" vertical="center" wrapText="1"/>
    </xf>
    <xf numFmtId="4" fontId="13" fillId="0" borderId="146" xfId="0" applyNumberFormat="1" applyFont="1" applyBorder="1"/>
    <xf numFmtId="4" fontId="14" fillId="0" borderId="147" xfId="0" applyNumberFormat="1" applyFont="1" applyBorder="1" applyAlignment="1">
      <alignment horizontal="right" vertical="center"/>
    </xf>
    <xf numFmtId="4" fontId="13" fillId="0" borderId="147" xfId="0" applyNumberFormat="1" applyFont="1" applyBorder="1" applyAlignment="1">
      <alignment horizontal="right" vertical="center"/>
    </xf>
    <xf numFmtId="0" fontId="0" fillId="0" borderId="148" xfId="0" applyBorder="1"/>
    <xf numFmtId="0" fontId="14" fillId="0" borderId="149" xfId="0" applyFont="1" applyBorder="1" applyAlignment="1">
      <alignment horizontal="center" vertical="center" wrapText="1"/>
    </xf>
    <xf numFmtId="0" fontId="14" fillId="0" borderId="148" xfId="0" applyFont="1" applyBorder="1" applyAlignment="1">
      <alignment horizontal="center" vertical="center" wrapText="1"/>
    </xf>
    <xf numFmtId="0" fontId="14" fillId="0" borderId="150" xfId="0" applyFont="1" applyBorder="1" applyAlignment="1">
      <alignment horizontal="center" vertical="center" wrapText="1"/>
    </xf>
    <xf numFmtId="4" fontId="13" fillId="0" borderId="151" xfId="0" applyNumberFormat="1" applyFont="1" applyBorder="1"/>
    <xf numFmtId="4" fontId="13" fillId="0" borderId="152" xfId="0" applyNumberFormat="1" applyFont="1" applyBorder="1" applyAlignment="1">
      <alignment horizontal="right" vertical="center"/>
    </xf>
    <xf numFmtId="0" fontId="0" fillId="0" borderId="152" xfId="0" applyBorder="1"/>
    <xf numFmtId="0" fontId="14" fillId="0" borderId="153" xfId="0" applyFont="1" applyBorder="1" applyAlignment="1">
      <alignment horizontal="center" vertical="center" wrapText="1"/>
    </xf>
    <xf numFmtId="0" fontId="14" fillId="0" borderId="154" xfId="0" applyFont="1" applyBorder="1" applyAlignment="1">
      <alignment horizontal="center" vertical="center" wrapText="1"/>
    </xf>
    <xf numFmtId="0" fontId="14" fillId="0" borderId="155" xfId="0" applyFont="1" applyBorder="1" applyAlignment="1">
      <alignment horizontal="center" vertical="center" wrapText="1"/>
    </xf>
  </cellXfs>
  <cellStyles count="9">
    <cellStyle name="Comma" xfId="1" builtinId="3"/>
    <cellStyle name="Currency" xfId="8" builtinId="4"/>
    <cellStyle name="Normal" xfId="0" builtinId="0"/>
    <cellStyle name="Normal 2" xfId="2" xr:uid="{00000000-0005-0000-0000-000002000000}"/>
    <cellStyle name="Normal 3" xfId="3" xr:uid="{00000000-0005-0000-0000-000003000000}"/>
    <cellStyle name="Normal 4" xfId="4" xr:uid="{00000000-0005-0000-0000-000004000000}"/>
    <cellStyle name="Normal 5" xfId="5" xr:uid="{00000000-0005-0000-0000-000005000000}"/>
    <cellStyle name="Normal 5 2" xfId="7" xr:uid="{00000000-0005-0000-0000-000006000000}"/>
    <cellStyle name="Normal_Accounts 2002-03 - Period 3" xfId="6" xr:uid="{00000000-0005-0000-0000-000007000000}"/>
  </cellStyles>
  <dxfs count="70">
    <dxf>
      <fill>
        <patternFill>
          <bgColor theme="5" tint="0.39994506668294322"/>
        </patternFill>
      </fill>
    </dxf>
    <dxf>
      <fill>
        <patternFill>
          <bgColor theme="6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theme="2" tint="-0.24994659260841701"/>
        </patternFill>
      </fill>
    </dxf>
    <dxf>
      <fill>
        <patternFill>
          <bgColor theme="5" tint="0.59996337778862885"/>
        </patternFill>
      </fill>
    </dxf>
    <dxf>
      <font>
        <color theme="0"/>
      </font>
      <fill>
        <patternFill>
          <bgColor theme="1" tint="0.499984740745262"/>
        </patternFill>
      </fill>
    </dxf>
    <dxf>
      <fill>
        <patternFill>
          <bgColor theme="4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theme="2" tint="-0.24994659260841701"/>
        </patternFill>
      </fill>
    </dxf>
    <dxf>
      <fill>
        <patternFill>
          <bgColor theme="5" tint="0.59996337778862885"/>
        </patternFill>
      </fill>
    </dxf>
    <dxf>
      <font>
        <color theme="0"/>
      </font>
      <fill>
        <patternFill>
          <bgColor theme="1" tint="0.499984740745262"/>
        </patternFill>
      </fill>
    </dxf>
    <dxf>
      <fill>
        <patternFill>
          <bgColor theme="4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theme="2" tint="-0.24994659260841701"/>
        </patternFill>
      </fill>
    </dxf>
    <dxf>
      <fill>
        <patternFill>
          <bgColor theme="5" tint="0.59996337778862885"/>
        </patternFill>
      </fill>
    </dxf>
    <dxf>
      <font>
        <color theme="0"/>
      </font>
      <fill>
        <patternFill>
          <bgColor theme="1" tint="0.499984740745262"/>
        </patternFill>
      </fill>
    </dxf>
    <dxf>
      <fill>
        <patternFill>
          <bgColor theme="4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theme="2" tint="-0.24994659260841701"/>
        </patternFill>
      </fill>
    </dxf>
    <dxf>
      <fill>
        <patternFill>
          <bgColor theme="5" tint="0.59996337778862885"/>
        </patternFill>
      </fill>
    </dxf>
    <dxf>
      <font>
        <color theme="0"/>
      </font>
      <fill>
        <patternFill>
          <bgColor theme="1" tint="0.499984740745262"/>
        </patternFill>
      </fill>
    </dxf>
    <dxf>
      <fill>
        <patternFill>
          <bgColor theme="4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theme="2" tint="-0.24994659260841701"/>
        </patternFill>
      </fill>
    </dxf>
    <dxf>
      <fill>
        <patternFill>
          <bgColor theme="5" tint="0.59996337778862885"/>
        </patternFill>
      </fill>
    </dxf>
    <dxf>
      <font>
        <color theme="0"/>
      </font>
      <fill>
        <patternFill>
          <bgColor theme="1" tint="0.499984740745262"/>
        </patternFill>
      </fill>
    </dxf>
    <dxf>
      <fill>
        <patternFill>
          <bgColor theme="4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theme="2" tint="-0.24994659260841701"/>
        </patternFill>
      </fill>
    </dxf>
    <dxf>
      <fill>
        <patternFill>
          <bgColor theme="5" tint="0.59996337778862885"/>
        </patternFill>
      </fill>
    </dxf>
    <dxf>
      <font>
        <color theme="0"/>
      </font>
      <fill>
        <patternFill>
          <bgColor theme="1" tint="0.499984740745262"/>
        </patternFill>
      </fill>
    </dxf>
    <dxf>
      <fill>
        <patternFill>
          <bgColor theme="4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theme="2" tint="-0.24994659260841701"/>
        </patternFill>
      </fill>
    </dxf>
    <dxf>
      <fill>
        <patternFill>
          <bgColor theme="5" tint="0.59996337778862885"/>
        </patternFill>
      </fill>
    </dxf>
    <dxf>
      <font>
        <color theme="0"/>
      </font>
      <fill>
        <patternFill>
          <bgColor theme="1" tint="0.499984740745262"/>
        </patternFill>
      </fill>
    </dxf>
    <dxf>
      <fill>
        <patternFill>
          <bgColor theme="4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theme="2" tint="-0.24994659260841701"/>
        </patternFill>
      </fill>
    </dxf>
    <dxf>
      <fill>
        <patternFill>
          <bgColor theme="5" tint="0.59996337778862885"/>
        </patternFill>
      </fill>
    </dxf>
    <dxf>
      <font>
        <color theme="0"/>
      </font>
      <fill>
        <patternFill>
          <bgColor theme="1" tint="0.499984740745262"/>
        </patternFill>
      </fill>
    </dxf>
    <dxf>
      <fill>
        <patternFill>
          <bgColor theme="4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theme="2" tint="-0.24994659260841701"/>
        </patternFill>
      </fill>
    </dxf>
    <dxf>
      <fill>
        <patternFill>
          <bgColor theme="5" tint="0.59996337778862885"/>
        </patternFill>
      </fill>
    </dxf>
    <dxf>
      <font>
        <color theme="0"/>
      </font>
      <fill>
        <patternFill>
          <bgColor theme="1" tint="0.499984740745262"/>
        </patternFill>
      </fill>
    </dxf>
    <dxf>
      <fill>
        <patternFill>
          <bgColor theme="4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theme="2" tint="-0.24994659260841701"/>
        </patternFill>
      </fill>
    </dxf>
    <dxf>
      <fill>
        <patternFill>
          <bgColor theme="5" tint="0.59996337778862885"/>
        </patternFill>
      </fill>
    </dxf>
    <dxf>
      <font>
        <color theme="0"/>
      </font>
      <fill>
        <patternFill>
          <bgColor theme="1" tint="0.499984740745262"/>
        </patternFill>
      </fill>
    </dxf>
    <dxf>
      <fill>
        <patternFill>
          <bgColor theme="4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theme="2" tint="-0.24994659260841701"/>
        </patternFill>
      </fill>
    </dxf>
    <dxf>
      <fill>
        <patternFill>
          <bgColor theme="5" tint="0.59996337778862885"/>
        </patternFill>
      </fill>
    </dxf>
    <dxf>
      <font>
        <color theme="0"/>
      </font>
      <fill>
        <patternFill>
          <bgColor theme="1" tint="0.499984740745262"/>
        </patternFill>
      </fill>
    </dxf>
    <dxf>
      <fill>
        <patternFill>
          <bgColor theme="4" tint="0.79998168889431442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FFFF"/>
      <color rgb="FFFFCC99"/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84"/>
  <sheetViews>
    <sheetView zoomScaleNormal="100" workbookViewId="0">
      <pane xSplit="3" ySplit="1" topLeftCell="J29" activePane="bottomRight" state="frozen"/>
      <selection pane="topRight" activeCell="D1" sqref="D1"/>
      <selection pane="bottomLeft" activeCell="A2" sqref="A2"/>
      <selection pane="bottomRight" activeCell="N75" sqref="N75"/>
    </sheetView>
  </sheetViews>
  <sheetFormatPr defaultColWidth="11.42578125" defaultRowHeight="12.75" x14ac:dyDescent="0.2"/>
  <cols>
    <col min="1" max="1" width="24.7109375" style="41" customWidth="1"/>
    <col min="2" max="2" width="4.7109375" style="36" customWidth="1"/>
    <col min="3" max="3" width="22.5703125" style="37" bestFit="1" customWidth="1"/>
    <col min="4" max="4" width="11" style="37" hidden="1" customWidth="1"/>
    <col min="5" max="9" width="11" style="41" hidden="1" customWidth="1"/>
    <col min="10" max="10" width="10" style="41" customWidth="1"/>
    <col min="11" max="13" width="11" style="41" customWidth="1"/>
    <col min="14" max="14" width="57.5703125" style="41" customWidth="1"/>
    <col min="15" max="15" width="11.42578125" style="41"/>
    <col min="16" max="16" width="50" style="41" customWidth="1"/>
    <col min="17" max="16384" width="11.42578125" style="41"/>
  </cols>
  <sheetData>
    <row r="1" spans="1:16" ht="58.5" thickBot="1" x14ac:dyDescent="0.25">
      <c r="B1" s="35" t="s">
        <v>132</v>
      </c>
      <c r="D1" s="241" t="s">
        <v>101</v>
      </c>
      <c r="E1" s="241" t="s">
        <v>102</v>
      </c>
      <c r="F1" s="241" t="s">
        <v>103</v>
      </c>
      <c r="G1" s="241" t="s">
        <v>116</v>
      </c>
      <c r="H1" s="241" t="s">
        <v>119</v>
      </c>
      <c r="I1" s="241" t="s">
        <v>124</v>
      </c>
      <c r="J1" s="241" t="s">
        <v>180</v>
      </c>
      <c r="K1" s="39" t="s">
        <v>178</v>
      </c>
      <c r="L1" s="38" t="s">
        <v>179</v>
      </c>
      <c r="M1" s="38" t="s">
        <v>319</v>
      </c>
      <c r="N1" s="40" t="s">
        <v>74</v>
      </c>
      <c r="P1" s="267" t="s">
        <v>263</v>
      </c>
    </row>
    <row r="2" spans="1:16" ht="14.25" thickTop="1" thickBot="1" x14ac:dyDescent="0.25">
      <c r="A2" s="338" t="s">
        <v>250</v>
      </c>
      <c r="B2" s="339"/>
      <c r="C2" s="340" t="s">
        <v>249</v>
      </c>
      <c r="D2" s="341"/>
      <c r="E2" s="342"/>
      <c r="F2" s="342"/>
      <c r="G2" s="342"/>
      <c r="H2" s="342"/>
      <c r="I2" s="342"/>
      <c r="J2" s="342"/>
      <c r="K2" s="424">
        <f>Cashbook!G6</f>
        <v>6061.85</v>
      </c>
      <c r="L2" s="343">
        <f>K2</f>
        <v>6061.85</v>
      </c>
      <c r="M2" s="433"/>
      <c r="N2" s="344"/>
      <c r="P2" s="41" t="s">
        <v>327</v>
      </c>
    </row>
    <row r="3" spans="1:16" ht="13.5" thickBot="1" x14ac:dyDescent="0.25">
      <c r="A3" s="345"/>
      <c r="B3" s="251"/>
      <c r="C3" s="252"/>
      <c r="D3" s="253"/>
      <c r="E3" s="254"/>
      <c r="F3" s="254"/>
      <c r="G3" s="254"/>
      <c r="H3" s="254"/>
      <c r="I3" s="254"/>
      <c r="J3" s="254"/>
      <c r="K3" s="260"/>
      <c r="L3" s="260"/>
      <c r="M3" s="434"/>
      <c r="N3" s="346"/>
      <c r="P3" s="372" t="s">
        <v>277</v>
      </c>
    </row>
    <row r="4" spans="1:16" x14ac:dyDescent="0.2">
      <c r="A4" s="345" t="s">
        <v>335</v>
      </c>
      <c r="B4" s="251"/>
      <c r="C4" s="252" t="s">
        <v>233</v>
      </c>
      <c r="D4" s="253"/>
      <c r="E4" s="254"/>
      <c r="F4" s="254"/>
      <c r="G4" s="254"/>
      <c r="H4" s="254"/>
      <c r="I4" s="254"/>
      <c r="J4" s="254"/>
      <c r="K4" s="250">
        <v>625</v>
      </c>
      <c r="L4" s="250"/>
      <c r="M4" s="435"/>
      <c r="N4" s="347" t="s">
        <v>252</v>
      </c>
    </row>
    <row r="5" spans="1:16" x14ac:dyDescent="0.2">
      <c r="A5" s="345"/>
      <c r="B5" s="251"/>
      <c r="C5" s="252" t="s">
        <v>233</v>
      </c>
      <c r="D5" s="253"/>
      <c r="E5" s="254"/>
      <c r="F5" s="254"/>
      <c r="G5" s="254"/>
      <c r="H5" s="254"/>
      <c r="I5" s="254"/>
      <c r="J5" s="254"/>
      <c r="K5" s="250">
        <v>1000</v>
      </c>
      <c r="L5" s="250"/>
      <c r="M5" s="435"/>
      <c r="N5" s="347" t="s">
        <v>253</v>
      </c>
    </row>
    <row r="6" spans="1:16" x14ac:dyDescent="0.2">
      <c r="A6" s="345"/>
      <c r="B6" s="251"/>
      <c r="C6" s="252" t="s">
        <v>251</v>
      </c>
      <c r="D6" s="253"/>
      <c r="E6" s="254"/>
      <c r="F6" s="254"/>
      <c r="G6" s="254"/>
      <c r="H6" s="254"/>
      <c r="I6" s="254"/>
      <c r="J6" s="254"/>
      <c r="K6" s="250">
        <v>2450</v>
      </c>
      <c r="L6" s="250"/>
      <c r="M6" s="436"/>
      <c r="N6" s="346" t="s">
        <v>254</v>
      </c>
    </row>
    <row r="7" spans="1:16" x14ac:dyDescent="0.2">
      <c r="A7" s="345"/>
      <c r="B7" s="251"/>
      <c r="C7" s="252"/>
      <c r="D7" s="253"/>
      <c r="E7" s="254"/>
      <c r="F7" s="254"/>
      <c r="G7" s="254"/>
      <c r="H7" s="254"/>
      <c r="I7" s="254"/>
      <c r="J7" s="254"/>
      <c r="K7" s="250"/>
      <c r="L7" s="250"/>
      <c r="M7" s="436"/>
      <c r="N7" s="346"/>
    </row>
    <row r="8" spans="1:16" ht="13.5" thickBot="1" x14ac:dyDescent="0.25">
      <c r="A8" s="345" t="s">
        <v>255</v>
      </c>
      <c r="B8" s="251"/>
      <c r="C8" s="255" t="s">
        <v>256</v>
      </c>
      <c r="D8" s="253"/>
      <c r="E8" s="254"/>
      <c r="F8" s="254"/>
      <c r="G8" s="254"/>
      <c r="H8" s="254"/>
      <c r="I8" s="254"/>
      <c r="J8" s="254"/>
      <c r="K8" s="268">
        <f>K2-(SUM(K4:K7))</f>
        <v>1986.8500000000004</v>
      </c>
      <c r="L8" s="269"/>
      <c r="M8" s="437"/>
      <c r="N8" s="346"/>
      <c r="P8" s="41" t="s">
        <v>328</v>
      </c>
    </row>
    <row r="9" spans="1:16" ht="13.5" thickTop="1" x14ac:dyDescent="0.2">
      <c r="A9" s="345"/>
      <c r="B9" s="251"/>
      <c r="C9" s="252"/>
      <c r="D9" s="253"/>
      <c r="E9" s="254"/>
      <c r="F9" s="254"/>
      <c r="G9" s="254"/>
      <c r="H9" s="254"/>
      <c r="I9" s="254"/>
      <c r="J9" s="254"/>
      <c r="K9" s="260"/>
      <c r="L9" s="260"/>
      <c r="M9" s="434"/>
      <c r="N9" s="346"/>
    </row>
    <row r="10" spans="1:16" x14ac:dyDescent="0.2">
      <c r="A10" s="345" t="s">
        <v>334</v>
      </c>
      <c r="B10" s="251"/>
      <c r="C10" s="252" t="s">
        <v>264</v>
      </c>
      <c r="D10" s="253"/>
      <c r="E10" s="254"/>
      <c r="F10" s="254"/>
      <c r="G10" s="254"/>
      <c r="H10" s="254"/>
      <c r="I10" s="254"/>
      <c r="J10" s="254"/>
      <c r="K10" s="348">
        <f>L10</f>
        <v>1986.8500000000004</v>
      </c>
      <c r="L10" s="348">
        <f>K8</f>
        <v>1986.8500000000004</v>
      </c>
      <c r="M10" s="348"/>
      <c r="N10" s="346"/>
      <c r="P10" s="41" t="s">
        <v>329</v>
      </c>
    </row>
    <row r="11" spans="1:16" x14ac:dyDescent="0.2">
      <c r="A11" s="345"/>
      <c r="B11" s="251"/>
      <c r="C11" s="252" t="s">
        <v>257</v>
      </c>
      <c r="D11" s="253"/>
      <c r="E11" s="254"/>
      <c r="F11" s="254"/>
      <c r="G11" s="254"/>
      <c r="H11" s="254"/>
      <c r="I11" s="254"/>
      <c r="J11" s="254"/>
      <c r="K11" s="348">
        <f t="shared" ref="K11" si="0">L11</f>
        <v>0</v>
      </c>
      <c r="L11" s="348">
        <v>0</v>
      </c>
      <c r="M11" s="348"/>
      <c r="N11" s="346"/>
      <c r="P11" s="41" t="s">
        <v>261</v>
      </c>
    </row>
    <row r="12" spans="1:16" x14ac:dyDescent="0.2">
      <c r="A12" s="373" t="s">
        <v>280</v>
      </c>
      <c r="B12" s="69">
        <v>1</v>
      </c>
      <c r="C12" s="252" t="s">
        <v>258</v>
      </c>
      <c r="D12" s="253"/>
      <c r="E12" s="226">
        <v>23795</v>
      </c>
      <c r="F12" s="47">
        <v>24393</v>
      </c>
      <c r="G12" s="48">
        <v>24710</v>
      </c>
      <c r="H12" s="48">
        <v>24710</v>
      </c>
      <c r="I12" s="48">
        <v>25451</v>
      </c>
      <c r="J12" s="48">
        <v>27669</v>
      </c>
      <c r="K12" s="348">
        <f>SUMIFS(Cashbook!$G$8:$G$143,Cashbook!$K$8:$K$143,"Receipts",Cashbook!$L$8:$L$143,1)</f>
        <v>21375</v>
      </c>
      <c r="L12" s="348">
        <v>28206</v>
      </c>
      <c r="M12" s="348"/>
      <c r="N12" s="346"/>
    </row>
    <row r="13" spans="1:16" x14ac:dyDescent="0.2">
      <c r="A13" s="349"/>
      <c r="B13" s="69">
        <v>4</v>
      </c>
      <c r="C13" s="265" t="s">
        <v>259</v>
      </c>
      <c r="D13" s="225"/>
      <c r="E13" s="226">
        <v>134</v>
      </c>
      <c r="F13" s="47">
        <v>300</v>
      </c>
      <c r="G13" s="48">
        <v>3786.16</v>
      </c>
      <c r="H13" s="48">
        <v>850</v>
      </c>
      <c r="I13" s="48"/>
      <c r="J13" s="48">
        <v>3486.3</v>
      </c>
      <c r="K13" s="348">
        <f>Cashbook!I144</f>
        <v>35.76</v>
      </c>
      <c r="L13" s="350"/>
      <c r="M13" s="350"/>
      <c r="N13" s="351" t="s">
        <v>169</v>
      </c>
      <c r="P13" s="41" t="s">
        <v>260</v>
      </c>
    </row>
    <row r="14" spans="1:16" x14ac:dyDescent="0.2">
      <c r="A14" s="349"/>
      <c r="B14" s="69">
        <v>3</v>
      </c>
      <c r="C14" s="265" t="s">
        <v>266</v>
      </c>
      <c r="D14" s="225"/>
      <c r="E14" s="226">
        <v>30</v>
      </c>
      <c r="F14" s="47">
        <v>30</v>
      </c>
      <c r="G14" s="48">
        <v>30</v>
      </c>
      <c r="H14" s="48">
        <v>30</v>
      </c>
      <c r="I14" s="48">
        <v>30</v>
      </c>
      <c r="J14" s="48">
        <v>8.14</v>
      </c>
      <c r="K14" s="418">
        <f>SUMIFS(Cashbook!$G$8:$G$143,Cashbook!$K$8:$K$143,"Receipts",Cashbook!$L$8:$L$143,3)</f>
        <v>1.82</v>
      </c>
      <c r="L14" s="42">
        <v>10</v>
      </c>
      <c r="M14" s="438"/>
      <c r="N14" s="351" t="s">
        <v>267</v>
      </c>
      <c r="P14" s="41" t="s">
        <v>260</v>
      </c>
    </row>
    <row r="15" spans="1:16" x14ac:dyDescent="0.2">
      <c r="A15" s="349"/>
      <c r="B15" s="69">
        <v>5</v>
      </c>
      <c r="C15" s="265" t="s">
        <v>139</v>
      </c>
      <c r="D15" s="227"/>
      <c r="E15" s="228"/>
      <c r="F15" s="72"/>
      <c r="G15" s="71"/>
      <c r="H15" s="71"/>
      <c r="I15" s="71"/>
      <c r="J15" s="71">
        <v>1828.55</v>
      </c>
      <c r="K15" s="160">
        <f>SUMIFS(Cashbook!$G$8:$G$143,Cashbook!$K$8:$K$143,"Receipts",Cashbook!$L$8:$L$143,5)</f>
        <v>3046.81</v>
      </c>
      <c r="L15" s="49"/>
      <c r="M15" s="439"/>
      <c r="N15" s="351" t="s">
        <v>268</v>
      </c>
      <c r="P15" s="41" t="s">
        <v>260</v>
      </c>
    </row>
    <row r="16" spans="1:16" ht="13.5" thickBot="1" x14ac:dyDescent="0.25">
      <c r="A16" s="345"/>
      <c r="B16" s="251"/>
      <c r="C16" s="255" t="s">
        <v>0</v>
      </c>
      <c r="D16" s="263"/>
      <c r="E16" s="264"/>
      <c r="F16" s="264"/>
      <c r="G16" s="264"/>
      <c r="H16" s="264"/>
      <c r="I16" s="264"/>
      <c r="J16" s="264"/>
      <c r="K16" s="266">
        <f>SUM(K10:K15)</f>
        <v>26446.239999999998</v>
      </c>
      <c r="L16" s="266">
        <f>SUM(L10:L15)</f>
        <v>30202.85</v>
      </c>
      <c r="M16" s="440"/>
      <c r="N16" s="346"/>
      <c r="P16" s="41" t="s">
        <v>262</v>
      </c>
    </row>
    <row r="17" spans="1:16" ht="14.25" thickTop="1" thickBot="1" x14ac:dyDescent="0.25">
      <c r="A17" s="352"/>
      <c r="B17" s="353"/>
      <c r="C17" s="354"/>
      <c r="D17" s="355"/>
      <c r="E17" s="356"/>
      <c r="F17" s="356"/>
      <c r="G17" s="356"/>
      <c r="H17" s="356"/>
      <c r="I17" s="356"/>
      <c r="J17" s="356"/>
      <c r="K17" s="357"/>
      <c r="L17" s="357"/>
      <c r="M17" s="441"/>
      <c r="N17" s="358"/>
    </row>
    <row r="18" spans="1:16" ht="6" customHeight="1" thickTop="1" x14ac:dyDescent="0.2">
      <c r="A18" s="260"/>
      <c r="B18" s="334"/>
      <c r="C18" s="335"/>
      <c r="D18" s="336"/>
      <c r="E18" s="337"/>
      <c r="F18" s="337"/>
      <c r="G18" s="337"/>
      <c r="H18" s="337"/>
      <c r="I18" s="337"/>
      <c r="J18" s="337"/>
      <c r="K18" s="260"/>
      <c r="L18" s="260"/>
      <c r="M18" s="260"/>
      <c r="N18" s="260"/>
    </row>
    <row r="19" spans="1:16" ht="21.75" thickBot="1" x14ac:dyDescent="0.4">
      <c r="A19" s="296"/>
      <c r="B19" s="297"/>
      <c r="C19" s="298" t="s">
        <v>265</v>
      </c>
      <c r="D19" s="299"/>
      <c r="E19" s="296"/>
      <c r="F19" s="296"/>
      <c r="G19" s="296"/>
      <c r="H19" s="296"/>
      <c r="I19" s="296"/>
      <c r="J19" s="296"/>
      <c r="K19" s="296"/>
      <c r="L19" s="296"/>
      <c r="M19" s="296"/>
      <c r="N19" s="296"/>
    </row>
    <row r="20" spans="1:16" ht="14.25" thickTop="1" thickBot="1" x14ac:dyDescent="0.25">
      <c r="A20" s="310" t="s">
        <v>13</v>
      </c>
      <c r="B20" s="311"/>
      <c r="C20" s="312"/>
      <c r="D20" s="313"/>
      <c r="E20" s="314"/>
      <c r="F20" s="315"/>
      <c r="G20" s="316"/>
      <c r="H20" s="316"/>
      <c r="I20" s="316"/>
      <c r="J20" s="316"/>
      <c r="K20" s="402"/>
      <c r="L20" s="317"/>
      <c r="M20" s="317"/>
      <c r="N20" s="318"/>
      <c r="P20" s="371" t="s">
        <v>276</v>
      </c>
    </row>
    <row r="21" spans="1:16" x14ac:dyDescent="0.2">
      <c r="A21" s="319"/>
      <c r="B21" s="155">
        <v>1</v>
      </c>
      <c r="C21" s="249" t="s">
        <v>76</v>
      </c>
      <c r="D21" s="151">
        <v>4300</v>
      </c>
      <c r="E21" s="151">
        <v>6000</v>
      </c>
      <c r="F21" s="152">
        <v>6000</v>
      </c>
      <c r="G21" s="153">
        <v>4000</v>
      </c>
      <c r="H21" s="153">
        <v>5000</v>
      </c>
      <c r="I21" s="153">
        <v>4000</v>
      </c>
      <c r="J21" s="153">
        <v>4010</v>
      </c>
      <c r="K21" s="403">
        <f>SUMIFS(Cashbook!$H$8:$H$143,Cashbook!$K$8:$K$143,"Maintenance",Cashbook!$L$8:$L$143,1)</f>
        <v>1800</v>
      </c>
      <c r="L21" s="50">
        <v>4000</v>
      </c>
      <c r="M21" s="50">
        <f>SUM(L21)-K21</f>
        <v>2200</v>
      </c>
      <c r="N21" s="320" t="s">
        <v>121</v>
      </c>
    </row>
    <row r="22" spans="1:16" x14ac:dyDescent="0.2">
      <c r="A22" s="321"/>
      <c r="B22" s="65">
        <v>2</v>
      </c>
      <c r="C22" s="51" t="s">
        <v>14</v>
      </c>
      <c r="D22" s="150">
        <v>1000</v>
      </c>
      <c r="E22" s="150">
        <v>1000</v>
      </c>
      <c r="F22" s="47">
        <v>1000</v>
      </c>
      <c r="G22" s="48">
        <v>1000</v>
      </c>
      <c r="H22" s="48">
        <v>500</v>
      </c>
      <c r="I22" s="48">
        <v>500</v>
      </c>
      <c r="J22" s="48">
        <v>137.5</v>
      </c>
      <c r="K22" s="404">
        <f>SUMIFS(Cashbook!$H$8:$H$143,Cashbook!$K$8:$K$143,"Maintenance",Cashbook!$L$8:$L$143,2)</f>
        <v>243.5</v>
      </c>
      <c r="L22" s="42">
        <v>250</v>
      </c>
      <c r="M22" s="42">
        <f t="shared" ref="M22:M53" si="1">SUM(L22)-K22</f>
        <v>6.5</v>
      </c>
      <c r="N22" s="322" t="s">
        <v>330</v>
      </c>
    </row>
    <row r="23" spans="1:16" ht="13.5" thickBot="1" x14ac:dyDescent="0.25">
      <c r="A23" s="321"/>
      <c r="B23" s="65">
        <v>3</v>
      </c>
      <c r="C23" s="43" t="s">
        <v>135</v>
      </c>
      <c r="D23" s="219"/>
      <c r="E23" s="219"/>
      <c r="F23" s="220"/>
      <c r="G23" s="221"/>
      <c r="H23" s="221"/>
      <c r="I23" s="221">
        <v>100</v>
      </c>
      <c r="J23" s="221">
        <v>730</v>
      </c>
      <c r="K23" s="405">
        <f>SUMIFS(Cashbook!$H$8:$H$143,Cashbook!$K$8:$K$143,"Maintenance",Cashbook!$L$8:$L$143,3)</f>
        <v>440</v>
      </c>
      <c r="L23" s="44">
        <v>500</v>
      </c>
      <c r="M23" s="44">
        <f t="shared" si="1"/>
        <v>60</v>
      </c>
      <c r="N23" s="322" t="s">
        <v>144</v>
      </c>
    </row>
    <row r="24" spans="1:16" x14ac:dyDescent="0.2">
      <c r="A24" s="321"/>
      <c r="B24" s="65"/>
      <c r="C24" s="66" t="s">
        <v>82</v>
      </c>
      <c r="D24" s="270">
        <f>SUM(D21:D22)</f>
        <v>5300</v>
      </c>
      <c r="E24" s="270">
        <f>SUM(E21:E22)</f>
        <v>7000</v>
      </c>
      <c r="F24" s="270">
        <f>SUM(F21:F22)</f>
        <v>7000</v>
      </c>
      <c r="G24" s="270">
        <f>SUM(G21:G22)</f>
        <v>5000</v>
      </c>
      <c r="H24" s="270">
        <f>SUM(H21:H22)</f>
        <v>5500</v>
      </c>
      <c r="I24" s="270">
        <v>4600</v>
      </c>
      <c r="J24" s="270">
        <v>4877.5</v>
      </c>
      <c r="K24" s="406">
        <f>SUM(K21:K23)</f>
        <v>2483.5</v>
      </c>
      <c r="L24" s="270">
        <f>SUM(L21:L23)</f>
        <v>4750</v>
      </c>
      <c r="M24" s="270">
        <f t="shared" si="1"/>
        <v>2266.5</v>
      </c>
      <c r="N24" s="323"/>
    </row>
    <row r="25" spans="1:16" x14ac:dyDescent="0.2">
      <c r="A25" s="324" t="s">
        <v>15</v>
      </c>
      <c r="B25" s="61"/>
      <c r="C25" s="53"/>
      <c r="D25" s="223"/>
      <c r="E25" s="150"/>
      <c r="F25" s="47"/>
      <c r="G25" s="48"/>
      <c r="H25" s="48"/>
      <c r="I25" s="48"/>
      <c r="J25" s="48"/>
      <c r="K25" s="407"/>
      <c r="L25" s="42"/>
      <c r="M25" s="42">
        <f t="shared" si="1"/>
        <v>0</v>
      </c>
      <c r="N25" s="322"/>
    </row>
    <row r="26" spans="1:16" x14ac:dyDescent="0.2">
      <c r="A26" s="319"/>
      <c r="B26" s="62">
        <v>1</v>
      </c>
      <c r="C26" s="54" t="s">
        <v>11</v>
      </c>
      <c r="D26" s="150">
        <v>8000</v>
      </c>
      <c r="E26" s="150">
        <v>7000</v>
      </c>
      <c r="F26" s="47">
        <v>4000</v>
      </c>
      <c r="G26" s="48">
        <v>6500</v>
      </c>
      <c r="H26" s="48">
        <v>6500</v>
      </c>
      <c r="I26" s="48">
        <v>4000</v>
      </c>
      <c r="J26" s="48">
        <v>3904.62</v>
      </c>
      <c r="K26" s="407">
        <f>SUMIFS(Cashbook!$H$8:$H$143,Cashbook!$K$8:$K$143,"Running costs",Cashbook!$L$8:$L$143,1)</f>
        <v>1199.9000000000001</v>
      </c>
      <c r="L26" s="42">
        <v>3500</v>
      </c>
      <c r="M26" s="42">
        <f t="shared" si="1"/>
        <v>2300.1</v>
      </c>
      <c r="N26" s="322" t="s">
        <v>182</v>
      </c>
    </row>
    <row r="27" spans="1:16" x14ac:dyDescent="0.2">
      <c r="A27" s="321"/>
      <c r="B27" s="61">
        <v>2</v>
      </c>
      <c r="C27" s="54" t="s">
        <v>16</v>
      </c>
      <c r="D27" s="150">
        <v>270</v>
      </c>
      <c r="E27" s="150">
        <v>400</v>
      </c>
      <c r="F27" s="47">
        <v>1000</v>
      </c>
      <c r="G27" s="48">
        <v>1000</v>
      </c>
      <c r="H27" s="48">
        <v>1000</v>
      </c>
      <c r="I27" s="48"/>
      <c r="J27" s="48">
        <v>200</v>
      </c>
      <c r="K27" s="407">
        <f>SUMIFS(Cashbook!$H$8:$H$143,Cashbook!$K$8:$K$143,"Running costs",Cashbook!$L$8:$L$143,2)</f>
        <v>54.48</v>
      </c>
      <c r="L27" s="42">
        <v>500</v>
      </c>
      <c r="M27" s="42">
        <f t="shared" si="1"/>
        <v>445.52</v>
      </c>
      <c r="N27" s="322" t="s">
        <v>181</v>
      </c>
    </row>
    <row r="28" spans="1:16" x14ac:dyDescent="0.2">
      <c r="A28" s="321"/>
      <c r="B28" s="61">
        <v>3</v>
      </c>
      <c r="C28" s="51" t="s">
        <v>113</v>
      </c>
      <c r="D28" s="150">
        <v>200</v>
      </c>
      <c r="E28" s="150">
        <v>200</v>
      </c>
      <c r="F28" s="47">
        <v>200</v>
      </c>
      <c r="G28" s="48"/>
      <c r="H28" s="48"/>
      <c r="I28" s="48"/>
      <c r="J28" s="48">
        <v>212.43</v>
      </c>
      <c r="K28" s="407">
        <f>SUMIFS(Cashbook!$H$8:$H$143,Cashbook!$K$8:$K$143,"Running costs",Cashbook!$L$8:$L$143,3)</f>
        <v>0</v>
      </c>
      <c r="L28" s="42">
        <v>50</v>
      </c>
      <c r="M28" s="42">
        <f t="shared" si="1"/>
        <v>50</v>
      </c>
      <c r="N28" s="322"/>
    </row>
    <row r="29" spans="1:16" x14ac:dyDescent="0.2">
      <c r="A29" s="321"/>
      <c r="B29" s="61">
        <v>4</v>
      </c>
      <c r="C29" s="51" t="s">
        <v>134</v>
      </c>
      <c r="D29" s="150">
        <v>320</v>
      </c>
      <c r="E29" s="150">
        <v>300</v>
      </c>
      <c r="F29" s="47">
        <v>300</v>
      </c>
      <c r="G29" s="48">
        <v>0</v>
      </c>
      <c r="H29" s="48"/>
      <c r="I29" s="48">
        <v>300</v>
      </c>
      <c r="J29" s="48">
        <v>616.10000000000014</v>
      </c>
      <c r="K29" s="407">
        <f>SUMIFS(Cashbook!$H$8:$H$143,Cashbook!$K$8:$K$143,"Running costs",Cashbook!$L$8:$L$143,4)</f>
        <v>382.89</v>
      </c>
      <c r="L29" s="42">
        <v>600</v>
      </c>
      <c r="M29" s="42">
        <f t="shared" si="1"/>
        <v>217.11</v>
      </c>
      <c r="N29" s="322" t="s">
        <v>136</v>
      </c>
    </row>
    <row r="30" spans="1:16" x14ac:dyDescent="0.2">
      <c r="A30" s="321"/>
      <c r="B30" s="61">
        <v>5</v>
      </c>
      <c r="C30" s="51" t="s">
        <v>114</v>
      </c>
      <c r="D30" s="150"/>
      <c r="E30" s="150"/>
      <c r="F30" s="47"/>
      <c r="G30" s="48">
        <v>50</v>
      </c>
      <c r="H30" s="48">
        <v>50</v>
      </c>
      <c r="I30" s="48">
        <v>150</v>
      </c>
      <c r="J30" s="48">
        <v>28</v>
      </c>
      <c r="K30" s="407">
        <f>SUMIFS(Cashbook!$H$8:$H$143,Cashbook!$K$8:$K$143,"Running costs",Cashbook!$L$8:$L$143,5)</f>
        <v>0</v>
      </c>
      <c r="L30" s="42">
        <v>75</v>
      </c>
      <c r="M30" s="42">
        <f t="shared" si="1"/>
        <v>75</v>
      </c>
      <c r="N30" s="322"/>
    </row>
    <row r="31" spans="1:16" x14ac:dyDescent="0.2">
      <c r="A31" s="321"/>
      <c r="B31" s="61">
        <v>6</v>
      </c>
      <c r="C31" s="51" t="s">
        <v>115</v>
      </c>
      <c r="D31" s="150"/>
      <c r="E31" s="150"/>
      <c r="F31" s="47"/>
      <c r="G31" s="48">
        <v>100</v>
      </c>
      <c r="H31" s="48">
        <v>100</v>
      </c>
      <c r="I31" s="48">
        <v>100</v>
      </c>
      <c r="J31" s="48">
        <v>116</v>
      </c>
      <c r="K31" s="407">
        <f>SUMIFS(Cashbook!$H$8:$H$143,Cashbook!$K$8:$K$143,"Running costs",Cashbook!$L$8:$L$143,6)</f>
        <v>50</v>
      </c>
      <c r="L31" s="42">
        <v>100</v>
      </c>
      <c r="M31" s="42">
        <f t="shared" si="1"/>
        <v>50</v>
      </c>
      <c r="N31" s="322" t="s">
        <v>331</v>
      </c>
    </row>
    <row r="32" spans="1:16" x14ac:dyDescent="0.2">
      <c r="A32" s="321"/>
      <c r="B32" s="61">
        <v>7</v>
      </c>
      <c r="C32" s="51" t="s">
        <v>22</v>
      </c>
      <c r="D32" s="150">
        <v>320</v>
      </c>
      <c r="E32" s="150">
        <v>350</v>
      </c>
      <c r="F32" s="47">
        <v>500</v>
      </c>
      <c r="G32" s="48">
        <v>500</v>
      </c>
      <c r="H32" s="48">
        <v>500</v>
      </c>
      <c r="I32" s="48">
        <v>200</v>
      </c>
      <c r="J32" s="48">
        <v>55</v>
      </c>
      <c r="K32" s="407">
        <f>SUMIFS(Cashbook!$H$8:$H$143,Cashbook!$K$8:$K$143,"Running costs",Cashbook!$L$8:$L$143,7)</f>
        <v>0</v>
      </c>
      <c r="L32" s="42">
        <v>50</v>
      </c>
      <c r="M32" s="42">
        <f t="shared" si="1"/>
        <v>50</v>
      </c>
      <c r="N32" s="322" t="s">
        <v>163</v>
      </c>
    </row>
    <row r="33" spans="1:14" x14ac:dyDescent="0.2">
      <c r="A33" s="321"/>
      <c r="B33" s="61">
        <v>8</v>
      </c>
      <c r="C33" s="51" t="s">
        <v>77</v>
      </c>
      <c r="D33" s="150">
        <v>25</v>
      </c>
      <c r="E33" s="150">
        <v>25</v>
      </c>
      <c r="F33" s="47">
        <v>25</v>
      </c>
      <c r="G33" s="48">
        <v>25</v>
      </c>
      <c r="H33" s="48">
        <v>25</v>
      </c>
      <c r="I33" s="48">
        <v>25</v>
      </c>
      <c r="J33" s="48">
        <v>0</v>
      </c>
      <c r="K33" s="407">
        <f>SUMIFS(Cashbook!$H$8:$H$143,Cashbook!$K$8:$K$143,"Running costs",Cashbook!$L$8:$L$143,8)</f>
        <v>0</v>
      </c>
      <c r="L33" s="42">
        <v>0</v>
      </c>
      <c r="M33" s="42">
        <f t="shared" si="1"/>
        <v>0</v>
      </c>
      <c r="N33" s="322" t="s">
        <v>332</v>
      </c>
    </row>
    <row r="34" spans="1:14" x14ac:dyDescent="0.2">
      <c r="A34" s="321"/>
      <c r="B34" s="61">
        <v>9</v>
      </c>
      <c r="C34" s="51" t="s">
        <v>23</v>
      </c>
      <c r="D34" s="150">
        <v>250</v>
      </c>
      <c r="E34" s="150">
        <v>250</v>
      </c>
      <c r="F34" s="47">
        <v>150</v>
      </c>
      <c r="G34" s="48">
        <v>150</v>
      </c>
      <c r="H34" s="48">
        <v>900.00149999999996</v>
      </c>
      <c r="I34" s="48">
        <v>300</v>
      </c>
      <c r="J34" s="48">
        <v>0</v>
      </c>
      <c r="K34" s="407">
        <f>SUMIFS(Cashbook!$H$8:$H$143,Cashbook!$K$8:$K$143,"Running costs",Cashbook!$L$8:$L$143,9)</f>
        <v>0</v>
      </c>
      <c r="L34" s="42">
        <v>300</v>
      </c>
      <c r="M34" s="42">
        <f t="shared" si="1"/>
        <v>300</v>
      </c>
      <c r="N34" s="322" t="s">
        <v>164</v>
      </c>
    </row>
    <row r="35" spans="1:14" ht="25.5" x14ac:dyDescent="0.2">
      <c r="A35" s="319"/>
      <c r="B35" s="61">
        <v>10</v>
      </c>
      <c r="C35" s="51" t="s">
        <v>2</v>
      </c>
      <c r="D35" s="150">
        <v>400</v>
      </c>
      <c r="E35" s="150">
        <v>400</v>
      </c>
      <c r="F35" s="47">
        <v>400</v>
      </c>
      <c r="G35" s="48">
        <v>450</v>
      </c>
      <c r="H35" s="48">
        <v>900</v>
      </c>
      <c r="I35" s="48">
        <v>1300</v>
      </c>
      <c r="J35" s="48">
        <v>1333.48</v>
      </c>
      <c r="K35" s="407">
        <f>SUMIFS(Cashbook!$H$8:$H$143,Cashbook!$K$8:$K$143,"Running costs",Cashbook!$L$8:$L$143,10)</f>
        <v>882.31</v>
      </c>
      <c r="L35" s="42">
        <v>1350</v>
      </c>
      <c r="M35" s="42">
        <f t="shared" si="1"/>
        <v>467.69000000000005</v>
      </c>
      <c r="N35" s="322" t="s">
        <v>122</v>
      </c>
    </row>
    <row r="36" spans="1:14" x14ac:dyDescent="0.2">
      <c r="A36" s="325"/>
      <c r="B36" s="61">
        <v>11</v>
      </c>
      <c r="C36" s="70" t="s">
        <v>24</v>
      </c>
      <c r="D36" s="161">
        <v>700</v>
      </c>
      <c r="E36" s="161">
        <v>700</v>
      </c>
      <c r="F36" s="72">
        <v>700</v>
      </c>
      <c r="G36" s="71">
        <v>1000</v>
      </c>
      <c r="H36" s="71">
        <v>1000</v>
      </c>
      <c r="I36" s="71">
        <v>700</v>
      </c>
      <c r="J36" s="71">
        <v>1386.23</v>
      </c>
      <c r="K36" s="408">
        <f>SUMIFS(Cashbook!$H$8:$H$143,Cashbook!$K$8:$K$143,"Running costs",Cashbook!$L$8:$L$143,11)</f>
        <v>242.97</v>
      </c>
      <c r="L36" s="49">
        <v>750</v>
      </c>
      <c r="M36" s="49">
        <f t="shared" si="1"/>
        <v>507.03</v>
      </c>
      <c r="N36" s="322"/>
    </row>
    <row r="37" spans="1:14" x14ac:dyDescent="0.2">
      <c r="A37" s="325"/>
      <c r="B37" s="61">
        <v>12</v>
      </c>
      <c r="C37" s="70" t="s">
        <v>46</v>
      </c>
      <c r="D37" s="161"/>
      <c r="E37" s="161"/>
      <c r="F37" s="72"/>
      <c r="G37" s="71"/>
      <c r="H37" s="71"/>
      <c r="I37" s="71"/>
      <c r="J37" s="71">
        <v>150.65</v>
      </c>
      <c r="K37" s="408">
        <f>SUMIFS(Cashbook!$H$8:$H$143,Cashbook!$K$8:$K$143,"Running costs",Cashbook!$L$8:$L$143,12)</f>
        <v>35</v>
      </c>
      <c r="L37" s="49"/>
      <c r="M37" s="49">
        <f t="shared" si="1"/>
        <v>-35</v>
      </c>
      <c r="N37" s="322"/>
    </row>
    <row r="38" spans="1:14" x14ac:dyDescent="0.2">
      <c r="A38" s="321"/>
      <c r="B38" s="156">
        <v>1</v>
      </c>
      <c r="C38" s="149" t="s">
        <v>156</v>
      </c>
      <c r="D38" s="161"/>
      <c r="E38" s="161"/>
      <c r="F38" s="72"/>
      <c r="G38" s="71"/>
      <c r="H38" s="71"/>
      <c r="I38" s="71"/>
      <c r="J38" s="71">
        <v>0</v>
      </c>
      <c r="K38" s="409">
        <f>-SUMIFS(Cashbook!$G$8:$G$143,Cashbook!$K$8:$K$143,"Running costs",Cashbook!$L$8:$L$143,1)</f>
        <v>0</v>
      </c>
      <c r="L38" s="49"/>
      <c r="M38" s="49">
        <f t="shared" si="1"/>
        <v>0</v>
      </c>
      <c r="N38" s="326"/>
    </row>
    <row r="39" spans="1:14" ht="13.5" thickBot="1" x14ac:dyDescent="0.25">
      <c r="A39" s="321"/>
      <c r="B39" s="158"/>
      <c r="C39" s="159" t="s">
        <v>81</v>
      </c>
      <c r="D39" s="271">
        <f>SUM(D26:D38)</f>
        <v>10485</v>
      </c>
      <c r="E39" s="271">
        <f>SUM(E26:E38)</f>
        <v>9625</v>
      </c>
      <c r="F39" s="271">
        <f>SUM(F26:F38)</f>
        <v>7275</v>
      </c>
      <c r="G39" s="271">
        <f>SUM(G26:G38)</f>
        <v>9775</v>
      </c>
      <c r="H39" s="271">
        <f>SUM(H26:H38)</f>
        <v>10975.0015</v>
      </c>
      <c r="I39" s="271">
        <v>7075</v>
      </c>
      <c r="J39" s="271">
        <v>8002.51</v>
      </c>
      <c r="K39" s="271">
        <f>SUM(K26:K38)</f>
        <v>2847.5499999999997</v>
      </c>
      <c r="L39" s="271">
        <f>SUM(L26:L38)</f>
        <v>7275</v>
      </c>
      <c r="M39" s="271">
        <f t="shared" si="1"/>
        <v>4427.4500000000007</v>
      </c>
      <c r="N39" s="327"/>
    </row>
    <row r="40" spans="1:14" ht="13.5" thickTop="1" x14ac:dyDescent="0.2">
      <c r="A40" s="328" t="s">
        <v>10</v>
      </c>
      <c r="B40" s="259"/>
      <c r="C40" s="157"/>
      <c r="D40" s="224"/>
      <c r="E40" s="222"/>
      <c r="F40" s="152"/>
      <c r="G40" s="153"/>
      <c r="H40" s="153"/>
      <c r="I40" s="153"/>
      <c r="J40" s="153"/>
      <c r="K40" s="258"/>
      <c r="L40" s="50"/>
      <c r="M40" s="50">
        <f t="shared" si="1"/>
        <v>0</v>
      </c>
      <c r="N40" s="320"/>
    </row>
    <row r="41" spans="1:14" x14ac:dyDescent="0.2">
      <c r="B41" s="59">
        <v>1</v>
      </c>
      <c r="C41" s="51" t="s">
        <v>17</v>
      </c>
      <c r="D41" s="150">
        <v>260</v>
      </c>
      <c r="E41" s="150">
        <v>250</v>
      </c>
      <c r="F41" s="47">
        <v>275</v>
      </c>
      <c r="G41" s="48">
        <v>300</v>
      </c>
      <c r="H41" s="48">
        <v>290</v>
      </c>
      <c r="I41" s="48">
        <v>300</v>
      </c>
      <c r="J41" s="48">
        <v>0</v>
      </c>
      <c r="K41" s="410">
        <f>SUMIFS(Cashbook!$H$8:$H$143,Cashbook!$K$8:$K$143,"Memberships",Cashbook!$L$8:$L$143,1)</f>
        <v>293.82</v>
      </c>
      <c r="L41" s="42">
        <v>300</v>
      </c>
      <c r="M41" s="42">
        <f t="shared" si="1"/>
        <v>6.1800000000000068</v>
      </c>
      <c r="N41" s="322"/>
    </row>
    <row r="42" spans="1:14" x14ac:dyDescent="0.2">
      <c r="A42" s="321"/>
      <c r="B42" s="63">
        <v>2</v>
      </c>
      <c r="C42" s="51" t="s">
        <v>18</v>
      </c>
      <c r="D42" s="150">
        <v>150</v>
      </c>
      <c r="E42" s="150">
        <v>140</v>
      </c>
      <c r="F42" s="47"/>
      <c r="G42" s="48">
        <v>150</v>
      </c>
      <c r="H42" s="48">
        <v>78</v>
      </c>
      <c r="I42" s="48">
        <v>80</v>
      </c>
      <c r="J42" s="48">
        <v>89</v>
      </c>
      <c r="K42" s="410">
        <f>SUMIFS(Cashbook!$H$8:$H$143,Cashbook!$K$8:$K$143,"Memberships",Cashbook!$L$8:$L$143,2)</f>
        <v>89</v>
      </c>
      <c r="L42" s="42">
        <v>80</v>
      </c>
      <c r="M42" s="42">
        <f t="shared" si="1"/>
        <v>-9</v>
      </c>
      <c r="N42" s="322"/>
    </row>
    <row r="43" spans="1:14" x14ac:dyDescent="0.2">
      <c r="A43" s="321"/>
      <c r="B43" s="63">
        <v>3</v>
      </c>
      <c r="C43" s="51" t="s">
        <v>19</v>
      </c>
      <c r="D43" s="150">
        <v>35</v>
      </c>
      <c r="E43" s="150">
        <v>35</v>
      </c>
      <c r="F43" s="47">
        <v>30</v>
      </c>
      <c r="G43" s="48">
        <v>50</v>
      </c>
      <c r="H43" s="48">
        <v>50</v>
      </c>
      <c r="I43" s="48">
        <v>50</v>
      </c>
      <c r="J43" s="48">
        <v>25</v>
      </c>
      <c r="K43" s="410">
        <f>SUMIFS(Cashbook!$H$8:$H$143,Cashbook!$K$8:$K$143,"Memberships",Cashbook!$L$8:$L$143,3)</f>
        <v>0</v>
      </c>
      <c r="L43" s="42">
        <v>50</v>
      </c>
      <c r="M43" s="42">
        <f t="shared" si="1"/>
        <v>50</v>
      </c>
      <c r="N43" s="322"/>
    </row>
    <row r="44" spans="1:14" x14ac:dyDescent="0.2">
      <c r="A44" s="321"/>
      <c r="B44" s="63">
        <v>4</v>
      </c>
      <c r="C44" s="51" t="s">
        <v>20</v>
      </c>
      <c r="D44" s="150">
        <v>35</v>
      </c>
      <c r="E44" s="150">
        <v>35</v>
      </c>
      <c r="F44" s="47">
        <v>35</v>
      </c>
      <c r="G44" s="48">
        <v>35</v>
      </c>
      <c r="H44" s="48">
        <v>35</v>
      </c>
      <c r="I44" s="48">
        <v>35</v>
      </c>
      <c r="J44" s="48">
        <v>25</v>
      </c>
      <c r="K44" s="410">
        <f>SUMIFS(Cashbook!$H$8:$H$143,Cashbook!$K$8:$K$143,"Memberships",Cashbook!$L$8:$L$143,4)</f>
        <v>0</v>
      </c>
      <c r="L44" s="42">
        <v>35</v>
      </c>
      <c r="M44" s="42">
        <f t="shared" si="1"/>
        <v>35</v>
      </c>
      <c r="N44" s="322"/>
    </row>
    <row r="45" spans="1:14" x14ac:dyDescent="0.2">
      <c r="A45" s="321"/>
      <c r="B45" s="63">
        <v>5</v>
      </c>
      <c r="C45" s="70" t="s">
        <v>142</v>
      </c>
      <c r="D45" s="161"/>
      <c r="E45" s="161"/>
      <c r="F45" s="72"/>
      <c r="G45" s="71"/>
      <c r="H45" s="71"/>
      <c r="I45" s="71">
        <v>50</v>
      </c>
      <c r="J45" s="71">
        <v>50</v>
      </c>
      <c r="K45" s="410">
        <f>SUMIFS(Cashbook!$H$8:$H$143,Cashbook!$K$8:$K$143,"Memberships",Cashbook!$L$8:$L$143,5)</f>
        <v>0</v>
      </c>
      <c r="L45" s="49">
        <v>50</v>
      </c>
      <c r="M45" s="49">
        <f t="shared" si="1"/>
        <v>50</v>
      </c>
      <c r="N45" s="322"/>
    </row>
    <row r="46" spans="1:14" x14ac:dyDescent="0.2">
      <c r="A46" s="321"/>
      <c r="B46" s="63">
        <v>6</v>
      </c>
      <c r="C46" s="70" t="s">
        <v>21</v>
      </c>
      <c r="D46" s="161">
        <v>35</v>
      </c>
      <c r="E46" s="161">
        <v>35</v>
      </c>
      <c r="F46" s="72">
        <v>35</v>
      </c>
      <c r="G46" s="71">
        <v>35</v>
      </c>
      <c r="H46" s="71">
        <v>35</v>
      </c>
      <c r="I46" s="71">
        <v>35</v>
      </c>
      <c r="J46" s="71">
        <v>35</v>
      </c>
      <c r="K46" s="411">
        <f>SUMIFS(Cashbook!$H$8:$H$143,Cashbook!$K$8:$K$143,"Memberships",Cashbook!$L$8:$L$143,6)</f>
        <v>0</v>
      </c>
      <c r="L46" s="49">
        <v>35</v>
      </c>
      <c r="M46" s="49">
        <f t="shared" si="1"/>
        <v>35</v>
      </c>
      <c r="N46" s="322"/>
    </row>
    <row r="47" spans="1:14" ht="13.5" thickBot="1" x14ac:dyDescent="0.25">
      <c r="A47" s="321"/>
      <c r="B47" s="63">
        <v>7</v>
      </c>
      <c r="C47" s="52" t="s">
        <v>46</v>
      </c>
      <c r="D47" s="219"/>
      <c r="E47" s="219"/>
      <c r="F47" s="220"/>
      <c r="G47" s="221"/>
      <c r="H47" s="221"/>
      <c r="I47" s="221"/>
      <c r="J47" s="221">
        <v>0</v>
      </c>
      <c r="K47" s="412">
        <f>SUMIFS(Cashbook!$H$8:$H$143,Cashbook!$K$8:$K$143,"Memberships",Cashbook!$L$8:$L$143,7)</f>
        <v>0</v>
      </c>
      <c r="L47" s="44"/>
      <c r="M47" s="44">
        <f t="shared" si="1"/>
        <v>0</v>
      </c>
      <c r="N47" s="322"/>
    </row>
    <row r="48" spans="1:14" x14ac:dyDescent="0.2">
      <c r="A48" s="321"/>
      <c r="B48" s="63"/>
      <c r="C48" s="64" t="s">
        <v>80</v>
      </c>
      <c r="D48" s="272">
        <f>SUM(D41:D47)</f>
        <v>515</v>
      </c>
      <c r="E48" s="272">
        <f>SUM(E41:E47)</f>
        <v>495</v>
      </c>
      <c r="F48" s="272">
        <f>SUM(F41:F47)</f>
        <v>375</v>
      </c>
      <c r="G48" s="273">
        <f>SUM(G41:G47)</f>
        <v>570</v>
      </c>
      <c r="H48" s="273">
        <f>SUM(H41:H47)</f>
        <v>488</v>
      </c>
      <c r="I48" s="273">
        <v>550</v>
      </c>
      <c r="J48" s="273">
        <v>224</v>
      </c>
      <c r="K48" s="413">
        <f>SUM(K41:K47)</f>
        <v>382.82</v>
      </c>
      <c r="L48" s="273">
        <f>SUM(L41:L47)</f>
        <v>550</v>
      </c>
      <c r="M48" s="273">
        <f t="shared" si="1"/>
        <v>167.18</v>
      </c>
      <c r="N48" s="323"/>
    </row>
    <row r="49" spans="1:16" x14ac:dyDescent="0.2">
      <c r="A49" s="329" t="s">
        <v>86</v>
      </c>
      <c r="B49" s="67"/>
      <c r="C49" s="53"/>
      <c r="D49" s="150"/>
      <c r="E49" s="150"/>
      <c r="F49" s="47"/>
      <c r="G49" s="48"/>
      <c r="H49" s="48"/>
      <c r="I49" s="48"/>
      <c r="J49" s="48"/>
      <c r="K49" s="414"/>
      <c r="L49" s="42"/>
      <c r="M49" s="42">
        <f t="shared" si="1"/>
        <v>0</v>
      </c>
      <c r="N49" s="322"/>
    </row>
    <row r="50" spans="1:16" x14ac:dyDescent="0.2">
      <c r="B50" s="67">
        <v>1</v>
      </c>
      <c r="C50" s="54" t="s">
        <v>25</v>
      </c>
      <c r="D50" s="150">
        <v>500</v>
      </c>
      <c r="E50" s="150">
        <v>450</v>
      </c>
      <c r="F50" s="47">
        <v>450</v>
      </c>
      <c r="G50" s="48">
        <v>450</v>
      </c>
      <c r="H50" s="48">
        <v>450</v>
      </c>
      <c r="I50" s="48">
        <v>450</v>
      </c>
      <c r="J50" s="48">
        <v>380</v>
      </c>
      <c r="K50" s="414">
        <f>SUMIFS(Cashbook!$H$8:$H$143,Cashbook!$K$8:$K$143,"Audit and legal",Cashbook!$L$8:$L$143,1)</f>
        <v>0</v>
      </c>
      <c r="L50" s="42">
        <v>400</v>
      </c>
      <c r="M50" s="42">
        <f t="shared" si="1"/>
        <v>400</v>
      </c>
      <c r="N50" s="322"/>
    </row>
    <row r="51" spans="1:16" ht="13.5" thickBot="1" x14ac:dyDescent="0.25">
      <c r="A51" s="321"/>
      <c r="B51" s="67">
        <v>2</v>
      </c>
      <c r="C51" s="55" t="s">
        <v>109</v>
      </c>
      <c r="D51" s="219">
        <v>200</v>
      </c>
      <c r="E51" s="219">
        <v>200</v>
      </c>
      <c r="F51" s="220">
        <v>200</v>
      </c>
      <c r="G51" s="221">
        <v>200</v>
      </c>
      <c r="H51" s="221">
        <v>200</v>
      </c>
      <c r="I51" s="221">
        <v>200</v>
      </c>
      <c r="J51" s="221">
        <v>0</v>
      </c>
      <c r="K51" s="415">
        <f>SUMIFS(Cashbook!$H$8:$H$143,Cashbook!$K$8:$K$143,"Audit and legal",Cashbook!$L$8:$L$143,2)</f>
        <v>0</v>
      </c>
      <c r="L51" s="44"/>
      <c r="M51" s="44">
        <f t="shared" si="1"/>
        <v>0</v>
      </c>
      <c r="N51" s="322"/>
    </row>
    <row r="52" spans="1:16" x14ac:dyDescent="0.2">
      <c r="A52" s="321"/>
      <c r="B52" s="67"/>
      <c r="C52" s="68" t="s">
        <v>79</v>
      </c>
      <c r="D52" s="257">
        <f>SUM(D50:D51)</f>
        <v>700</v>
      </c>
      <c r="E52" s="257">
        <f t="shared" ref="E52:L52" si="2">SUM(E50:E51)</f>
        <v>650</v>
      </c>
      <c r="F52" s="257">
        <f t="shared" si="2"/>
        <v>650</v>
      </c>
      <c r="G52" s="257">
        <f t="shared" si="2"/>
        <v>650</v>
      </c>
      <c r="H52" s="257">
        <f t="shared" si="2"/>
        <v>650</v>
      </c>
      <c r="I52" s="257">
        <v>650</v>
      </c>
      <c r="J52" s="257">
        <v>380</v>
      </c>
      <c r="K52" s="416">
        <f t="shared" si="2"/>
        <v>0</v>
      </c>
      <c r="L52" s="275">
        <f t="shared" si="2"/>
        <v>400</v>
      </c>
      <c r="M52" s="275">
        <f t="shared" si="1"/>
        <v>400</v>
      </c>
      <c r="N52" s="323"/>
    </row>
    <row r="53" spans="1:16" ht="13.5" thickBot="1" x14ac:dyDescent="0.25">
      <c r="A53" s="274" t="s">
        <v>269</v>
      </c>
      <c r="B53" s="58"/>
      <c r="C53" s="56" t="s">
        <v>269</v>
      </c>
      <c r="D53" s="274">
        <f t="shared" ref="D53:J53" si="3">SUM(D52,D48,D39,D24)</f>
        <v>17000</v>
      </c>
      <c r="E53" s="274">
        <f t="shared" si="3"/>
        <v>17770</v>
      </c>
      <c r="F53" s="274">
        <f t="shared" si="3"/>
        <v>15300</v>
      </c>
      <c r="G53" s="274">
        <f t="shared" si="3"/>
        <v>15995</v>
      </c>
      <c r="H53" s="274">
        <f t="shared" si="3"/>
        <v>17613.001499999998</v>
      </c>
      <c r="I53" s="274">
        <f t="shared" si="3"/>
        <v>12875</v>
      </c>
      <c r="J53" s="274">
        <f t="shared" si="3"/>
        <v>13484.01</v>
      </c>
      <c r="K53" s="417">
        <f>SUM(K52,K48,K39,K24)</f>
        <v>5713.87</v>
      </c>
      <c r="L53" s="276">
        <f>SUM(L52,L48,L39,L24)</f>
        <v>12975</v>
      </c>
      <c r="M53" s="276">
        <f t="shared" si="1"/>
        <v>7261.13</v>
      </c>
      <c r="N53" s="330"/>
      <c r="P53" s="41" t="s">
        <v>270</v>
      </c>
    </row>
    <row r="54" spans="1:16" customFormat="1" ht="14.25" thickTop="1" thickBot="1" x14ac:dyDescent="0.25">
      <c r="A54" s="331"/>
      <c r="B54" s="332"/>
      <c r="C54" s="332"/>
      <c r="D54" s="332"/>
      <c r="E54" s="332"/>
      <c r="F54" s="332"/>
      <c r="G54" s="332"/>
      <c r="H54" s="332"/>
      <c r="I54" s="332"/>
      <c r="J54" s="332"/>
      <c r="K54" s="332"/>
      <c r="L54" s="332"/>
      <c r="M54" s="332"/>
      <c r="N54" s="333"/>
    </row>
    <row r="55" spans="1:16" ht="13.5" thickTop="1" x14ac:dyDescent="0.2">
      <c r="A55" s="41" t="s">
        <v>321</v>
      </c>
      <c r="C55" s="267"/>
      <c r="D55" s="277"/>
      <c r="E55" s="277"/>
      <c r="F55" s="277"/>
      <c r="G55" s="277"/>
      <c r="H55" s="277"/>
      <c r="I55" s="277"/>
      <c r="J55" s="277"/>
      <c r="K55" s="277">
        <f>SUM(K16)-K53</f>
        <v>20732.37</v>
      </c>
      <c r="L55" s="277">
        <f>SUM(L16)-L53</f>
        <v>17227.849999999999</v>
      </c>
      <c r="M55" s="277"/>
      <c r="P55" s="41" t="s">
        <v>271</v>
      </c>
    </row>
    <row r="56" spans="1:16" ht="7.5" customHeight="1" thickBot="1" x14ac:dyDescent="0.25">
      <c r="C56" s="267"/>
      <c r="D56" s="277"/>
      <c r="E56" s="277"/>
      <c r="F56" s="277"/>
      <c r="G56" s="277"/>
      <c r="H56" s="277"/>
      <c r="I56" s="277"/>
      <c r="J56" s="277"/>
      <c r="K56" s="277"/>
      <c r="L56" s="277"/>
      <c r="M56" s="277"/>
    </row>
    <row r="57" spans="1:16" ht="14.25" thickTop="1" thickBot="1" x14ac:dyDescent="0.25">
      <c r="A57" s="300" t="s">
        <v>272</v>
      </c>
      <c r="B57" s="301"/>
      <c r="C57" s="302" t="s">
        <v>333</v>
      </c>
      <c r="D57" s="303"/>
      <c r="E57" s="304"/>
      <c r="F57" s="304"/>
      <c r="G57" s="304"/>
      <c r="H57" s="304"/>
      <c r="I57" s="304"/>
      <c r="J57" s="304"/>
      <c r="K57" s="305">
        <f>SUM(K10:K11)</f>
        <v>1986.8500000000004</v>
      </c>
      <c r="L57" s="306">
        <f>SUM(L10:L11)</f>
        <v>1986.8500000000004</v>
      </c>
      <c r="M57" s="442"/>
      <c r="N57" s="307"/>
      <c r="P57" s="41" t="s">
        <v>273</v>
      </c>
    </row>
    <row r="58" spans="1:16" ht="13.5" thickBot="1" x14ac:dyDescent="0.25">
      <c r="A58" s="308"/>
      <c r="B58" s="295"/>
      <c r="C58" s="289" t="s">
        <v>275</v>
      </c>
      <c r="D58" s="293"/>
      <c r="E58" s="294"/>
      <c r="F58" s="294"/>
      <c r="G58" s="294"/>
      <c r="H58" s="294"/>
      <c r="I58" s="294"/>
      <c r="J58" s="294"/>
      <c r="K58" s="288">
        <v>7500</v>
      </c>
      <c r="L58" s="286">
        <v>7500</v>
      </c>
      <c r="M58" s="286"/>
      <c r="N58" s="309"/>
      <c r="P58" s="370" t="s">
        <v>322</v>
      </c>
    </row>
    <row r="59" spans="1:16" x14ac:dyDescent="0.2">
      <c r="A59" s="308"/>
      <c r="B59" s="295"/>
      <c r="C59" s="292" t="s">
        <v>26</v>
      </c>
      <c r="D59" s="290"/>
      <c r="E59" s="291"/>
      <c r="F59" s="291"/>
      <c r="G59" s="291"/>
      <c r="H59" s="291"/>
      <c r="I59" s="291"/>
      <c r="J59" s="291"/>
      <c r="K59" s="287">
        <f>SUM(K57:K58)</f>
        <v>9486.85</v>
      </c>
      <c r="L59" s="287">
        <f>SUM(L57:L58)</f>
        <v>9486.85</v>
      </c>
      <c r="M59" s="287"/>
      <c r="N59" s="309"/>
    </row>
    <row r="60" spans="1:16" customFormat="1" ht="6.75" customHeight="1" thickBot="1" x14ac:dyDescent="0.25">
      <c r="A60" s="468"/>
      <c r="B60" s="469"/>
      <c r="C60" s="469"/>
      <c r="D60" s="469"/>
      <c r="E60" s="469"/>
      <c r="F60" s="469"/>
      <c r="G60" s="469"/>
      <c r="H60" s="469"/>
      <c r="I60" s="469"/>
      <c r="J60" s="469"/>
      <c r="K60" s="469"/>
      <c r="L60" s="469"/>
      <c r="M60" s="469"/>
      <c r="N60" s="470"/>
    </row>
    <row r="61" spans="1:16" customFormat="1" ht="14.25" thickTop="1" thickBot="1" x14ac:dyDescent="0.25"/>
    <row r="62" spans="1:16" ht="27" thickTop="1" thickBot="1" x14ac:dyDescent="0.25">
      <c r="A62" s="471" t="s">
        <v>85</v>
      </c>
      <c r="B62" s="472">
        <v>1</v>
      </c>
      <c r="C62" s="473" t="s">
        <v>125</v>
      </c>
      <c r="D62" s="474">
        <v>10000</v>
      </c>
      <c r="E62" s="474">
        <v>13000</v>
      </c>
      <c r="F62" s="475">
        <v>13000</v>
      </c>
      <c r="G62" s="476">
        <v>9200</v>
      </c>
      <c r="H62" s="476">
        <v>2500</v>
      </c>
      <c r="I62" s="476">
        <v>2000</v>
      </c>
      <c r="J62" s="476">
        <v>2358.75</v>
      </c>
      <c r="K62" s="477">
        <f>SUMIFS(Cashbook!$H$8:$H$143,Cashbook!$K$8:$K$143,"Community fund",Cashbook!$L$8:$L$143,1)</f>
        <v>1250</v>
      </c>
      <c r="L62" s="478">
        <v>2500</v>
      </c>
      <c r="M62" s="478">
        <f t="shared" ref="M62:M82" si="4">SUM(L62)-K62</f>
        <v>1250</v>
      </c>
      <c r="N62" s="479" t="s">
        <v>158</v>
      </c>
      <c r="P62" s="494" t="s">
        <v>336</v>
      </c>
    </row>
    <row r="63" spans="1:16" ht="25.5" x14ac:dyDescent="0.2">
      <c r="A63" s="480"/>
      <c r="B63" s="57">
        <v>2</v>
      </c>
      <c r="C63" s="51" t="s">
        <v>157</v>
      </c>
      <c r="D63" s="150"/>
      <c r="E63" s="150"/>
      <c r="F63" s="47">
        <v>50</v>
      </c>
      <c r="G63" s="48">
        <v>200</v>
      </c>
      <c r="H63" s="48">
        <v>1000</v>
      </c>
      <c r="I63" s="48">
        <v>1000</v>
      </c>
      <c r="J63" s="48">
        <v>2181.34</v>
      </c>
      <c r="K63" s="418">
        <f>SUMIFS(Cashbook!$H$8:$H$143,Cashbook!$K$8:$K$143,"Community fund",Cashbook!$L$8:$L$143,2)</f>
        <v>0</v>
      </c>
      <c r="L63" s="42"/>
      <c r="M63" s="42">
        <f t="shared" si="4"/>
        <v>0</v>
      </c>
      <c r="N63" s="481" t="s">
        <v>159</v>
      </c>
    </row>
    <row r="64" spans="1:16" x14ac:dyDescent="0.2">
      <c r="A64" s="480"/>
      <c r="B64" s="57">
        <v>3</v>
      </c>
      <c r="C64" s="51" t="s">
        <v>46</v>
      </c>
      <c r="D64" s="150"/>
      <c r="E64" s="150"/>
      <c r="F64" s="47"/>
      <c r="G64" s="48"/>
      <c r="H64" s="48">
        <v>10176</v>
      </c>
      <c r="I64" s="48"/>
      <c r="J64" s="48">
        <v>0</v>
      </c>
      <c r="K64" s="418">
        <f>SUMIFS(Cashbook!$H$8:$H$143,Cashbook!$K$8:$K$143,"Community fund",Cashbook!$L$8:$L$143,3)</f>
        <v>0</v>
      </c>
      <c r="L64" s="42">
        <v>350</v>
      </c>
      <c r="M64" s="42">
        <f t="shared" si="4"/>
        <v>350</v>
      </c>
      <c r="N64" s="481" t="s">
        <v>320</v>
      </c>
    </row>
    <row r="65" spans="1:14" x14ac:dyDescent="0.2">
      <c r="A65" s="480"/>
      <c r="B65" s="57">
        <v>4</v>
      </c>
      <c r="C65" s="70" t="s">
        <v>145</v>
      </c>
      <c r="D65" s="161"/>
      <c r="E65" s="161"/>
      <c r="F65" s="72"/>
      <c r="G65" s="71"/>
      <c r="H65" s="71"/>
      <c r="I65" s="71">
        <v>1000</v>
      </c>
      <c r="J65" s="71">
        <v>1100</v>
      </c>
      <c r="K65" s="418">
        <f>SUMIFS(Cashbook!$H$8:$H$143,Cashbook!$K$8:$K$143,"Community fund",Cashbook!$L$8:$L$143,4)</f>
        <v>1200</v>
      </c>
      <c r="L65" s="49">
        <v>1200</v>
      </c>
      <c r="M65" s="49">
        <f t="shared" si="4"/>
        <v>0</v>
      </c>
      <c r="N65" s="481"/>
    </row>
    <row r="66" spans="1:14" ht="25.5" x14ac:dyDescent="0.2">
      <c r="A66" s="480"/>
      <c r="B66" s="57">
        <v>6</v>
      </c>
      <c r="C66" s="70" t="s">
        <v>160</v>
      </c>
      <c r="D66" s="161"/>
      <c r="E66" s="161"/>
      <c r="F66" s="72"/>
      <c r="G66" s="71"/>
      <c r="H66" s="71">
        <v>11305</v>
      </c>
      <c r="I66" s="71">
        <v>500</v>
      </c>
      <c r="J66" s="71">
        <v>310</v>
      </c>
      <c r="K66" s="418">
        <f>SUMIFS(Cashbook!$H$8:$H$143,Cashbook!$K$8:$K$143,"Community fund",Cashbook!$L$8:$L$143,6)</f>
        <v>0</v>
      </c>
      <c r="L66" s="49">
        <v>500</v>
      </c>
      <c r="M66" s="49">
        <f t="shared" si="4"/>
        <v>500</v>
      </c>
      <c r="N66" s="481" t="s">
        <v>171</v>
      </c>
    </row>
    <row r="67" spans="1:14" ht="13.5" thickBot="1" x14ac:dyDescent="0.25">
      <c r="A67" s="480"/>
      <c r="B67" s="57">
        <v>1</v>
      </c>
      <c r="C67" s="149" t="s">
        <v>154</v>
      </c>
      <c r="D67" s="161"/>
      <c r="E67" s="161"/>
      <c r="F67" s="72"/>
      <c r="G67" s="71"/>
      <c r="H67" s="71"/>
      <c r="I67" s="71"/>
      <c r="J67" s="71">
        <v>0</v>
      </c>
      <c r="K67" s="409">
        <f>-SUMIFS(Cashbook!$G$8:$G$143,Cashbook!$K$8:$K$143,"Community fund",Cashbook!$L$8:$L$143,2)</f>
        <v>0</v>
      </c>
      <c r="L67" s="49"/>
      <c r="M67" s="49">
        <f t="shared" si="4"/>
        <v>0</v>
      </c>
      <c r="N67" s="482" t="s">
        <v>183</v>
      </c>
    </row>
    <row r="68" spans="1:14" ht="13.5" thickTop="1" x14ac:dyDescent="0.2">
      <c r="A68" s="480"/>
      <c r="B68" s="57"/>
      <c r="C68" s="279" t="s">
        <v>84</v>
      </c>
      <c r="D68" s="280">
        <f>SUM(D62:D66)</f>
        <v>10000</v>
      </c>
      <c r="E68" s="280">
        <f>SUM(E62:E66)</f>
        <v>13000</v>
      </c>
      <c r="F68" s="280">
        <f>SUM(F62:F66)</f>
        <v>13050</v>
      </c>
      <c r="G68" s="280">
        <f>SUM(G62:G66)</f>
        <v>9400</v>
      </c>
      <c r="H68" s="280">
        <f>SUM(H62:H66)</f>
        <v>24981</v>
      </c>
      <c r="I68" s="280">
        <v>3500</v>
      </c>
      <c r="J68" s="280">
        <v>5950.09</v>
      </c>
      <c r="K68" s="419">
        <f>SUM(K62:K67)</f>
        <v>2450</v>
      </c>
      <c r="L68" s="280">
        <f>SUM(L62:L66)</f>
        <v>4550</v>
      </c>
      <c r="M68" s="280">
        <f t="shared" si="4"/>
        <v>2100</v>
      </c>
      <c r="N68" s="483"/>
    </row>
    <row r="69" spans="1:14" x14ac:dyDescent="0.2">
      <c r="A69" s="484" t="s">
        <v>12</v>
      </c>
      <c r="B69" s="60">
        <v>1</v>
      </c>
      <c r="C69" s="256" t="s">
        <v>155</v>
      </c>
      <c r="D69" s="151"/>
      <c r="E69" s="151"/>
      <c r="F69" s="152"/>
      <c r="G69" s="153"/>
      <c r="H69" s="153"/>
      <c r="I69" s="153">
        <v>0</v>
      </c>
      <c r="J69" s="153">
        <v>380</v>
      </c>
      <c r="K69" s="420">
        <f>SUMIFS(Cashbook!$H$8:$H$143,Cashbook!$K$8:$K$143,"Projects",Cashbook!$L$8:$L$143,1)</f>
        <v>0</v>
      </c>
      <c r="L69" s="278"/>
      <c r="M69" s="278">
        <f t="shared" si="4"/>
        <v>0</v>
      </c>
      <c r="N69" s="481"/>
    </row>
    <row r="70" spans="1:14" x14ac:dyDescent="0.2">
      <c r="A70" s="480"/>
      <c r="B70" s="60">
        <v>2</v>
      </c>
      <c r="C70" s="51"/>
      <c r="D70" s="150"/>
      <c r="E70" s="150"/>
      <c r="F70" s="47"/>
      <c r="G70" s="48"/>
      <c r="H70" s="48"/>
      <c r="I70" s="48"/>
      <c r="J70" s="48"/>
      <c r="K70" s="421"/>
      <c r="L70" s="234"/>
      <c r="M70" s="234">
        <f t="shared" si="4"/>
        <v>0</v>
      </c>
      <c r="N70" s="481"/>
    </row>
    <row r="71" spans="1:14" x14ac:dyDescent="0.2">
      <c r="A71" s="480"/>
      <c r="B71" s="60">
        <v>3</v>
      </c>
      <c r="C71" s="51" t="s">
        <v>95</v>
      </c>
      <c r="D71" s="150"/>
      <c r="E71" s="150"/>
      <c r="F71" s="47">
        <v>150</v>
      </c>
      <c r="G71" s="48">
        <v>150</v>
      </c>
      <c r="H71" s="48">
        <v>200</v>
      </c>
      <c r="I71" s="48">
        <v>0</v>
      </c>
      <c r="J71" s="48">
        <v>0</v>
      </c>
      <c r="K71" s="421">
        <f>SUMIFS(Cashbook!$H$8:$H$143,Cashbook!$K$8:$K$143,"Projects",Cashbook!$L$8:$L$143,3)</f>
        <v>0</v>
      </c>
      <c r="L71" s="234">
        <v>1500</v>
      </c>
      <c r="M71" s="234">
        <f t="shared" si="4"/>
        <v>1500</v>
      </c>
      <c r="N71" s="481" t="s">
        <v>143</v>
      </c>
    </row>
    <row r="72" spans="1:14" x14ac:dyDescent="0.2">
      <c r="A72" s="480"/>
      <c r="B72" s="60">
        <v>4</v>
      </c>
      <c r="C72" s="51" t="s">
        <v>105</v>
      </c>
      <c r="D72" s="218"/>
      <c r="E72" s="150">
        <v>600</v>
      </c>
      <c r="F72" s="47">
        <v>560</v>
      </c>
      <c r="G72" s="48">
        <v>1560</v>
      </c>
      <c r="H72" s="48">
        <v>1060</v>
      </c>
      <c r="I72" s="48">
        <v>1060</v>
      </c>
      <c r="J72" s="48">
        <v>0</v>
      </c>
      <c r="K72" s="421">
        <f>SUMIFS(Cashbook!$H$8:$H$143,Cashbook!$K$8:$K$143,"Projects",Cashbook!$L$8:$L$143,4)</f>
        <v>0</v>
      </c>
      <c r="L72" s="234"/>
      <c r="M72" s="234">
        <f t="shared" si="4"/>
        <v>0</v>
      </c>
      <c r="N72" s="481" t="s">
        <v>323</v>
      </c>
    </row>
    <row r="73" spans="1:14" x14ac:dyDescent="0.2">
      <c r="A73" s="480"/>
      <c r="B73" s="60">
        <v>5</v>
      </c>
      <c r="C73" s="51" t="s">
        <v>106</v>
      </c>
      <c r="D73" s="45"/>
      <c r="E73" s="46"/>
      <c r="F73" s="47">
        <v>1626</v>
      </c>
      <c r="G73" s="48">
        <v>3000</v>
      </c>
      <c r="H73" s="48">
        <v>3000</v>
      </c>
      <c r="I73" s="48">
        <v>4000</v>
      </c>
      <c r="J73" s="48">
        <v>4322.8999999999996</v>
      </c>
      <c r="K73" s="421">
        <f>SUMIFS(Cashbook!$H$8:$H$143,Cashbook!$K$8:$K$143,"Projects",Cashbook!$L$8:$L$143,5)</f>
        <v>341.11</v>
      </c>
      <c r="L73" s="234">
        <v>342</v>
      </c>
      <c r="M73" s="234">
        <f t="shared" si="4"/>
        <v>0.88999999999998636</v>
      </c>
      <c r="N73" s="481"/>
    </row>
    <row r="74" spans="1:14" x14ac:dyDescent="0.2">
      <c r="A74" s="480"/>
      <c r="B74" s="60">
        <v>6</v>
      </c>
      <c r="C74" s="51" t="s">
        <v>110</v>
      </c>
      <c r="D74" s="218"/>
      <c r="E74" s="150"/>
      <c r="F74" s="47">
        <v>1000</v>
      </c>
      <c r="G74" s="48">
        <v>1000</v>
      </c>
      <c r="H74" s="48">
        <v>2300</v>
      </c>
      <c r="I74" s="48">
        <v>100</v>
      </c>
      <c r="J74" s="48">
        <v>0</v>
      </c>
      <c r="K74" s="421">
        <f>SUMIFS(Cashbook!$H$8:$H$143,Cashbook!$K$8:$K$143,"Projects",Cashbook!$L$8:$L$143,6)</f>
        <v>0</v>
      </c>
      <c r="L74" s="234">
        <v>50</v>
      </c>
      <c r="M74" s="234">
        <f t="shared" si="4"/>
        <v>50</v>
      </c>
      <c r="N74" s="481"/>
    </row>
    <row r="75" spans="1:14" x14ac:dyDescent="0.2">
      <c r="A75" s="480"/>
      <c r="B75" s="60">
        <v>7</v>
      </c>
      <c r="C75" s="51" t="s">
        <v>111</v>
      </c>
      <c r="D75" s="218"/>
      <c r="E75" s="150"/>
      <c r="F75" s="47">
        <v>250</v>
      </c>
      <c r="G75" s="48">
        <v>250</v>
      </c>
      <c r="H75" s="48">
        <v>0</v>
      </c>
      <c r="I75" s="48">
        <v>0</v>
      </c>
      <c r="J75" s="48">
        <v>0</v>
      </c>
      <c r="K75" s="421">
        <f>SUMIFS(Cashbook!$H$8:$H$143,Cashbook!$K$8:$K$143,"Projects",Cashbook!$L$8:$L$143,7)</f>
        <v>0</v>
      </c>
      <c r="L75" s="234">
        <v>250</v>
      </c>
      <c r="M75" s="234">
        <f t="shared" si="4"/>
        <v>250</v>
      </c>
      <c r="N75" s="481" t="s">
        <v>161</v>
      </c>
    </row>
    <row r="76" spans="1:14" x14ac:dyDescent="0.2">
      <c r="A76" s="480"/>
      <c r="B76" s="60">
        <v>8</v>
      </c>
      <c r="C76" s="51" t="s">
        <v>112</v>
      </c>
      <c r="D76" s="218"/>
      <c r="E76" s="150"/>
      <c r="F76" s="47">
        <v>250</v>
      </c>
      <c r="G76" s="48">
        <v>250</v>
      </c>
      <c r="H76" s="48">
        <v>250</v>
      </c>
      <c r="I76" s="48">
        <v>250</v>
      </c>
      <c r="J76" s="48">
        <v>0</v>
      </c>
      <c r="K76" s="421">
        <f>SUMIFS(Cashbook!$H$8:$H$143,Cashbook!$K$8:$K$143,"Projects",Cashbook!$L$8:$L$143,8)</f>
        <v>0</v>
      </c>
      <c r="L76" s="234">
        <v>100</v>
      </c>
      <c r="M76" s="234">
        <f t="shared" si="4"/>
        <v>100</v>
      </c>
      <c r="N76" s="481" t="s">
        <v>107</v>
      </c>
    </row>
    <row r="77" spans="1:14" x14ac:dyDescent="0.2">
      <c r="A77" s="480"/>
      <c r="B77" s="60">
        <v>9</v>
      </c>
      <c r="C77" s="51" t="s">
        <v>108</v>
      </c>
      <c r="D77" s="218"/>
      <c r="E77" s="150"/>
      <c r="F77" s="47">
        <v>500</v>
      </c>
      <c r="G77" s="48">
        <v>500</v>
      </c>
      <c r="H77" s="48">
        <v>500</v>
      </c>
      <c r="I77" s="48"/>
      <c r="J77" s="48">
        <v>0</v>
      </c>
      <c r="K77" s="421">
        <f>SUMIFS(Cashbook!$H$8:$H$143,Cashbook!$K$8:$K$143,"Projects",Cashbook!$L$8:$L$143,9)</f>
        <v>0</v>
      </c>
      <c r="L77" s="234">
        <v>250</v>
      </c>
      <c r="M77" s="234">
        <f t="shared" si="4"/>
        <v>250</v>
      </c>
      <c r="N77" s="481" t="s">
        <v>162</v>
      </c>
    </row>
    <row r="78" spans="1:14" x14ac:dyDescent="0.2">
      <c r="A78" s="480"/>
      <c r="B78" s="60">
        <v>10</v>
      </c>
      <c r="C78" s="51" t="s">
        <v>120</v>
      </c>
      <c r="D78" s="45"/>
      <c r="E78" s="46"/>
      <c r="F78" s="47"/>
      <c r="G78" s="48"/>
      <c r="H78" s="48">
        <v>11305</v>
      </c>
      <c r="I78" s="48">
        <v>5000</v>
      </c>
      <c r="J78" s="48">
        <v>11306.02</v>
      </c>
      <c r="K78" s="421">
        <f>SUMIFS(Cashbook!$H$8:$H$143,Cashbook!$K$8:$K$143,"Projects",Cashbook!$L$8:$L$143,10)</f>
        <v>0</v>
      </c>
      <c r="L78" s="234"/>
      <c r="M78" s="234">
        <f t="shared" si="4"/>
        <v>0</v>
      </c>
      <c r="N78" s="481" t="s">
        <v>170</v>
      </c>
    </row>
    <row r="79" spans="1:14" x14ac:dyDescent="0.2">
      <c r="A79" s="480"/>
      <c r="B79" s="60">
        <v>12</v>
      </c>
      <c r="C79" s="51" t="s">
        <v>140</v>
      </c>
      <c r="D79" s="218"/>
      <c r="E79" s="150"/>
      <c r="F79" s="47"/>
      <c r="G79" s="48"/>
      <c r="H79" s="48"/>
      <c r="I79" s="48"/>
      <c r="J79" s="48">
        <v>687.67</v>
      </c>
      <c r="K79" s="421">
        <f>SUMIFS(Cashbook!$H$8:$H$143,Cashbook!$K$8:$K$143,"Projects",Cashbook!$L$8:$L$143,12)</f>
        <v>0</v>
      </c>
      <c r="L79" s="234">
        <v>500</v>
      </c>
      <c r="M79" s="234">
        <f t="shared" si="4"/>
        <v>500</v>
      </c>
      <c r="N79" s="481"/>
    </row>
    <row r="80" spans="1:14" ht="13.5" thickBot="1" x14ac:dyDescent="0.25">
      <c r="A80" s="480"/>
      <c r="B80" s="154"/>
      <c r="C80" s="149" t="s">
        <v>154</v>
      </c>
      <c r="D80" s="161"/>
      <c r="E80" s="161"/>
      <c r="F80" s="72"/>
      <c r="G80" s="71"/>
      <c r="H80" s="71"/>
      <c r="I80" s="71"/>
      <c r="J80" s="71">
        <v>-30</v>
      </c>
      <c r="K80" s="409">
        <f>-SUMIFS(Cashbook!$G$8:$G$143,Cashbook!$K$8:$K$143,"Projects",Cashbook!$L$8:$L$143,1)</f>
        <v>0</v>
      </c>
      <c r="L80" s="49"/>
      <c r="M80" s="49">
        <f t="shared" si="4"/>
        <v>0</v>
      </c>
      <c r="N80" s="482"/>
    </row>
    <row r="81" spans="1:16" x14ac:dyDescent="0.2">
      <c r="A81" s="480"/>
      <c r="B81" s="283"/>
      <c r="C81" s="282" t="s">
        <v>83</v>
      </c>
      <c r="D81" s="281">
        <f>SUM(D69:D79)</f>
        <v>0</v>
      </c>
      <c r="E81" s="281">
        <f>SUM(E69:E79)</f>
        <v>600</v>
      </c>
      <c r="F81" s="281">
        <f>SUM(F69:F79)</f>
        <v>4336</v>
      </c>
      <c r="G81" s="281">
        <f>SUM(G69:G79)</f>
        <v>6710</v>
      </c>
      <c r="H81" s="281">
        <f>SUM(H69:H79)</f>
        <v>18615</v>
      </c>
      <c r="I81" s="281">
        <v>11410</v>
      </c>
      <c r="J81" s="281">
        <v>16666.59</v>
      </c>
      <c r="K81" s="422">
        <f>SUM(K69:K80)</f>
        <v>341.11</v>
      </c>
      <c r="L81" s="284">
        <f>SUM(L69:L79)</f>
        <v>2992</v>
      </c>
      <c r="M81" s="284">
        <f t="shared" si="4"/>
        <v>2650.89</v>
      </c>
      <c r="N81" s="485"/>
    </row>
    <row r="82" spans="1:16" ht="13.5" thickBot="1" x14ac:dyDescent="0.25">
      <c r="A82" s="486"/>
      <c r="B82" s="487"/>
      <c r="C82" s="488" t="s">
        <v>324</v>
      </c>
      <c r="D82" s="489"/>
      <c r="E82" s="490"/>
      <c r="F82" s="490"/>
      <c r="G82" s="490"/>
      <c r="H82" s="490"/>
      <c r="I82" s="490"/>
      <c r="J82" s="490"/>
      <c r="K82" s="491">
        <f>SUM(K81,K68)</f>
        <v>2791.11</v>
      </c>
      <c r="L82" s="492">
        <f>SUM(L81,L68)</f>
        <v>7542</v>
      </c>
      <c r="M82" s="492">
        <f t="shared" si="4"/>
        <v>4750.8899999999994</v>
      </c>
      <c r="N82" s="493"/>
      <c r="P82" s="41" t="s">
        <v>325</v>
      </c>
    </row>
    <row r="83" spans="1:16" ht="13.5" thickTop="1" x14ac:dyDescent="0.2">
      <c r="C83" s="267" t="s">
        <v>274</v>
      </c>
      <c r="D83" s="267"/>
      <c r="E83" s="261"/>
      <c r="F83" s="261"/>
      <c r="G83" s="261"/>
      <c r="H83" s="261"/>
      <c r="I83" s="261"/>
      <c r="J83" s="261"/>
      <c r="K83" s="423">
        <f>SUM(K82,K53)</f>
        <v>8504.98</v>
      </c>
      <c r="L83" s="285">
        <f>SUM(L82,L53)</f>
        <v>20517</v>
      </c>
      <c r="M83" s="285"/>
      <c r="P83" s="41" t="s">
        <v>326</v>
      </c>
    </row>
    <row r="84" spans="1:16" ht="25.5" x14ac:dyDescent="0.2">
      <c r="C84" s="37" t="s">
        <v>278</v>
      </c>
      <c r="L84" s="262">
        <f>SUM(L16)-L83</f>
        <v>9685.8499999999985</v>
      </c>
      <c r="M84" s="262"/>
      <c r="P84" s="41" t="s">
        <v>279</v>
      </c>
    </row>
  </sheetData>
  <conditionalFormatting sqref="L84:M84">
    <cfRule type="cellIs" dxfId="69" priority="1" operator="lessThan">
      <formula>0</formula>
    </cfRule>
    <cfRule type="cellIs" dxfId="68" priority="2" operator="greaterThan">
      <formula>0</formula>
    </cfRule>
  </conditionalFormatting>
  <printOptions headings="1"/>
  <pageMargins left="0.11811023622047245" right="0.11811023622047245" top="0.15748031496062992" bottom="0" header="0.11811023622047245" footer="0.11811023622047245"/>
  <pageSetup paperSize="9" scale="6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35"/>
  <sheetViews>
    <sheetView topLeftCell="A13" zoomScale="150" zoomScaleNormal="150" workbookViewId="0">
      <selection activeCell="A22" sqref="A22"/>
    </sheetView>
  </sheetViews>
  <sheetFormatPr defaultColWidth="8.85546875" defaultRowHeight="12.75" x14ac:dyDescent="0.2"/>
  <cols>
    <col min="1" max="1" width="38.28515625" style="3" customWidth="1"/>
    <col min="2" max="2" width="15.28515625" customWidth="1"/>
    <col min="3" max="3" width="14.85546875" style="1" customWidth="1"/>
    <col min="4" max="4" width="16.28515625" customWidth="1"/>
    <col min="5" max="5" width="15.85546875" customWidth="1"/>
  </cols>
  <sheetData>
    <row r="1" spans="1:5" x14ac:dyDescent="0.2">
      <c r="A1" s="2" t="s">
        <v>3</v>
      </c>
      <c r="B1" s="4"/>
    </row>
    <row r="2" spans="1:5" x14ac:dyDescent="0.2">
      <c r="A2" s="2"/>
      <c r="B2" s="4"/>
    </row>
    <row r="3" spans="1:5" x14ac:dyDescent="0.2">
      <c r="A3" s="2" t="s">
        <v>1</v>
      </c>
      <c r="B3" s="4"/>
    </row>
    <row r="5" spans="1:5" ht="38.25" x14ac:dyDescent="0.2">
      <c r="A5" s="17" t="s">
        <v>42</v>
      </c>
      <c r="B5" s="8" t="s">
        <v>57</v>
      </c>
      <c r="C5" s="8" t="s">
        <v>98</v>
      </c>
      <c r="D5" s="8" t="s">
        <v>99</v>
      </c>
      <c r="E5" s="8" t="s">
        <v>100</v>
      </c>
    </row>
    <row r="7" spans="1:5" ht="14.25" x14ac:dyDescent="0.3">
      <c r="A7" s="6" t="s">
        <v>58</v>
      </c>
      <c r="B7" s="11">
        <v>1</v>
      </c>
      <c r="C7" s="11">
        <v>1</v>
      </c>
      <c r="D7" s="11">
        <v>1</v>
      </c>
      <c r="E7" s="11">
        <v>1</v>
      </c>
    </row>
    <row r="8" spans="1:5" ht="14.25" x14ac:dyDescent="0.3">
      <c r="A8" s="6" t="s">
        <v>59</v>
      </c>
      <c r="B8" s="11">
        <v>1</v>
      </c>
      <c r="C8" s="11">
        <v>1</v>
      </c>
      <c r="D8" s="11">
        <v>1</v>
      </c>
      <c r="E8" s="11">
        <v>1</v>
      </c>
    </row>
    <row r="9" spans="1:5" ht="14.25" x14ac:dyDescent="0.3">
      <c r="A9" s="6" t="s">
        <v>60</v>
      </c>
      <c r="B9" s="11">
        <v>1</v>
      </c>
      <c r="C9" s="11">
        <v>1</v>
      </c>
      <c r="D9" s="11">
        <v>1</v>
      </c>
      <c r="E9" s="11">
        <v>1</v>
      </c>
    </row>
    <row r="10" spans="1:5" ht="14.25" x14ac:dyDescent="0.3">
      <c r="A10" s="6" t="s">
        <v>61</v>
      </c>
      <c r="B10" s="11">
        <v>1</v>
      </c>
      <c r="C10" s="11">
        <v>1</v>
      </c>
      <c r="D10" s="11">
        <v>1</v>
      </c>
      <c r="E10" s="11">
        <v>1</v>
      </c>
    </row>
    <row r="11" spans="1:5" x14ac:dyDescent="0.2">
      <c r="A11"/>
      <c r="C11"/>
    </row>
    <row r="12" spans="1:5" ht="14.25" x14ac:dyDescent="0.3">
      <c r="A12" s="6" t="s">
        <v>63</v>
      </c>
      <c r="B12" s="11">
        <v>705</v>
      </c>
      <c r="C12" s="11">
        <v>705</v>
      </c>
      <c r="D12" s="11">
        <v>705</v>
      </c>
      <c r="E12" s="11">
        <v>705</v>
      </c>
    </row>
    <row r="13" spans="1:5" ht="14.25" x14ac:dyDescent="0.3">
      <c r="A13" s="6"/>
      <c r="B13" s="11"/>
      <c r="C13" s="11"/>
      <c r="D13" s="11"/>
      <c r="E13" s="11"/>
    </row>
    <row r="14" spans="1:5" ht="32.1" customHeight="1" x14ac:dyDescent="0.2">
      <c r="A14" s="15" t="s">
        <v>64</v>
      </c>
      <c r="B14" s="16">
        <v>925</v>
      </c>
      <c r="C14" s="16">
        <v>925</v>
      </c>
      <c r="D14" s="16">
        <v>925</v>
      </c>
      <c r="E14" s="16">
        <v>925</v>
      </c>
    </row>
    <row r="15" spans="1:5" ht="28.5" x14ac:dyDescent="0.2">
      <c r="A15" s="15" t="s">
        <v>65</v>
      </c>
      <c r="B15" s="16">
        <v>150</v>
      </c>
      <c r="C15" s="16">
        <v>150</v>
      </c>
      <c r="D15" s="16">
        <v>150</v>
      </c>
      <c r="E15" s="16">
        <v>150</v>
      </c>
    </row>
    <row r="16" spans="1:5" ht="14.25" x14ac:dyDescent="0.3">
      <c r="A16" s="6" t="s">
        <v>66</v>
      </c>
      <c r="B16" s="11">
        <v>395</v>
      </c>
      <c r="C16" s="11">
        <v>395</v>
      </c>
      <c r="D16" s="11">
        <v>395</v>
      </c>
      <c r="E16" s="11">
        <v>395</v>
      </c>
    </row>
    <row r="17" spans="1:5" ht="14.25" x14ac:dyDescent="0.3">
      <c r="A17" s="6" t="s">
        <v>93</v>
      </c>
      <c r="B17" s="11"/>
      <c r="C17" s="11">
        <v>200</v>
      </c>
      <c r="D17" s="11">
        <v>200</v>
      </c>
      <c r="E17" s="11">
        <v>200</v>
      </c>
    </row>
    <row r="18" spans="1:5" ht="14.25" x14ac:dyDescent="0.3">
      <c r="A18" s="6" t="s">
        <v>94</v>
      </c>
      <c r="B18" s="11"/>
      <c r="C18" s="11"/>
      <c r="D18" s="11">
        <v>205</v>
      </c>
      <c r="E18" s="11">
        <v>205</v>
      </c>
    </row>
    <row r="19" spans="1:5" ht="17.100000000000001" customHeight="1" x14ac:dyDescent="0.2">
      <c r="A19" s="15" t="s">
        <v>67</v>
      </c>
      <c r="B19" s="16">
        <v>6560</v>
      </c>
      <c r="C19" s="16">
        <v>6560</v>
      </c>
      <c r="D19" s="16">
        <v>6560</v>
      </c>
      <c r="E19" s="16">
        <v>6560</v>
      </c>
    </row>
    <row r="20" spans="1:5" ht="14.25" x14ac:dyDescent="0.3">
      <c r="A20" s="6"/>
      <c r="B20" s="11"/>
      <c r="C20" s="11"/>
      <c r="D20" s="11"/>
      <c r="E20" s="11"/>
    </row>
    <row r="21" spans="1:5" ht="14.25" x14ac:dyDescent="0.3">
      <c r="A21" s="6" t="s">
        <v>68</v>
      </c>
      <c r="B21" s="11"/>
      <c r="C21" s="11"/>
      <c r="D21" s="11"/>
      <c r="E21" s="11"/>
    </row>
    <row r="22" spans="1:5" ht="14.25" x14ac:dyDescent="0.3">
      <c r="A22" s="6" t="s">
        <v>69</v>
      </c>
      <c r="B22" s="11">
        <v>2</v>
      </c>
      <c r="C22" s="11">
        <v>2</v>
      </c>
      <c r="D22" s="11">
        <v>2</v>
      </c>
      <c r="E22" s="11">
        <v>2</v>
      </c>
    </row>
    <row r="23" spans="1:5" ht="14.25" x14ac:dyDescent="0.3">
      <c r="A23" s="6" t="s">
        <v>70</v>
      </c>
      <c r="B23" s="11">
        <v>0</v>
      </c>
      <c r="C23" s="11">
        <v>0</v>
      </c>
      <c r="D23" s="11">
        <v>0</v>
      </c>
      <c r="E23" s="11">
        <v>0</v>
      </c>
    </row>
    <row r="24" spans="1:5" ht="28.5" x14ac:dyDescent="0.3">
      <c r="A24" s="7" t="s">
        <v>71</v>
      </c>
      <c r="B24" s="11">
        <v>1353</v>
      </c>
      <c r="C24" s="11">
        <v>1353</v>
      </c>
      <c r="D24" s="11">
        <v>1353</v>
      </c>
      <c r="E24" s="11">
        <v>1353</v>
      </c>
    </row>
    <row r="25" spans="1:5" ht="14.25" x14ac:dyDescent="0.3">
      <c r="A25" s="6" t="s">
        <v>72</v>
      </c>
      <c r="B25" s="11">
        <v>938</v>
      </c>
      <c r="C25" s="11">
        <v>938</v>
      </c>
      <c r="D25" s="11">
        <v>938</v>
      </c>
      <c r="E25" s="11">
        <v>938</v>
      </c>
    </row>
    <row r="26" spans="1:5" ht="14.25" x14ac:dyDescent="0.3">
      <c r="A26" s="6" t="s">
        <v>73</v>
      </c>
      <c r="B26" s="11">
        <v>185</v>
      </c>
      <c r="C26" s="11">
        <v>185</v>
      </c>
      <c r="D26" s="11">
        <v>185</v>
      </c>
      <c r="E26" s="11">
        <v>185</v>
      </c>
    </row>
    <row r="27" spans="1:5" ht="14.25" x14ac:dyDescent="0.3">
      <c r="A27" s="6" t="s">
        <v>95</v>
      </c>
      <c r="B27" s="11"/>
      <c r="C27" s="11">
        <v>2020</v>
      </c>
      <c r="D27" s="11">
        <v>2020</v>
      </c>
      <c r="E27" s="11">
        <v>2020</v>
      </c>
    </row>
    <row r="28" spans="1:5" ht="14.25" x14ac:dyDescent="0.3">
      <c r="A28" s="6" t="s">
        <v>75</v>
      </c>
      <c r="B28" s="11"/>
      <c r="C28" s="12">
        <v>0</v>
      </c>
      <c r="D28" s="12">
        <v>0</v>
      </c>
      <c r="E28" s="12">
        <v>0</v>
      </c>
    </row>
    <row r="29" spans="1:5" ht="14.25" x14ac:dyDescent="0.3">
      <c r="A29" s="6" t="s">
        <v>96</v>
      </c>
      <c r="B29" s="11"/>
      <c r="C29" s="12"/>
      <c r="D29" s="12"/>
      <c r="E29" s="12">
        <v>552</v>
      </c>
    </row>
    <row r="30" spans="1:5" ht="14.25" x14ac:dyDescent="0.3">
      <c r="A30" s="6" t="s">
        <v>97</v>
      </c>
      <c r="B30" s="11"/>
      <c r="C30" s="12"/>
      <c r="D30" s="12"/>
      <c r="E30" s="12">
        <v>225</v>
      </c>
    </row>
    <row r="31" spans="1:5" ht="14.25" x14ac:dyDescent="0.3">
      <c r="A31" s="6"/>
      <c r="B31" s="6"/>
      <c r="C31" s="6"/>
      <c r="D31" s="6"/>
      <c r="E31" s="6"/>
    </row>
    <row r="32" spans="1:5" ht="15" thickBot="1" x14ac:dyDescent="0.35">
      <c r="A32" s="6"/>
      <c r="B32" s="13">
        <f>SUM(B7:B26)</f>
        <v>11217</v>
      </c>
      <c r="C32" s="13">
        <f>SUM(C7:C27)</f>
        <v>13437</v>
      </c>
      <c r="D32" s="13">
        <f>SUM(D7:D27)</f>
        <v>13642</v>
      </c>
      <c r="E32" s="13">
        <f>SUM(E7:E30)</f>
        <v>14419</v>
      </c>
    </row>
    <row r="33" spans="1:5" ht="15" thickTop="1" x14ac:dyDescent="0.3">
      <c r="A33" s="6"/>
      <c r="B33" s="6"/>
      <c r="C33" s="6"/>
      <c r="D33" s="6"/>
      <c r="E33" s="6"/>
    </row>
    <row r="34" spans="1:5" ht="14.25" x14ac:dyDescent="0.3">
      <c r="A34" s="6" t="s">
        <v>62</v>
      </c>
      <c r="B34" s="11">
        <v>355338</v>
      </c>
      <c r="C34" s="11">
        <v>355339</v>
      </c>
      <c r="D34" s="11">
        <v>355339</v>
      </c>
      <c r="E34" s="11">
        <v>355339</v>
      </c>
    </row>
    <row r="35" spans="1:5" ht="14.25" x14ac:dyDescent="0.3">
      <c r="A35" s="6"/>
      <c r="B35" s="6"/>
      <c r="C35" s="14"/>
      <c r="D35" s="14"/>
      <c r="E35" s="14"/>
    </row>
  </sheetData>
  <phoneticPr fontId="6" type="noConversion"/>
  <pageMargins left="0.23622047244094491" right="0.23622047244094491" top="0.74803149606299213" bottom="0.74803149606299213" header="0.31496062992125984" footer="0.31496062992125984"/>
  <pageSetup paperSize="9" fitToHeight="4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U165"/>
  <sheetViews>
    <sheetView tabSelected="1" zoomScale="85" zoomScaleNormal="85" workbookViewId="0">
      <pane xSplit="7" ySplit="5" topLeftCell="H6" activePane="bottomRight" state="frozen"/>
      <selection pane="topRight" activeCell="H1" sqref="H1"/>
      <selection pane="bottomLeft" activeCell="A6" sqref="A6"/>
      <selection pane="bottomRight" activeCell="D24" sqref="D24"/>
    </sheetView>
  </sheetViews>
  <sheetFormatPr defaultColWidth="1.140625" defaultRowHeight="15" x14ac:dyDescent="0.25"/>
  <cols>
    <col min="1" max="1" width="1.140625" style="73" customWidth="1"/>
    <col min="2" max="2" width="14.42578125" style="178" customWidth="1"/>
    <col min="3" max="3" width="9" style="175" customWidth="1"/>
    <col min="4" max="4" width="25.28515625" style="73" customWidth="1"/>
    <col min="5" max="5" width="33" style="73" customWidth="1"/>
    <col min="6" max="6" width="9.42578125" style="73" customWidth="1"/>
    <col min="7" max="7" width="13.140625" style="78" customWidth="1"/>
    <col min="8" max="8" width="11.140625" style="78" customWidth="1"/>
    <col min="9" max="9" width="9.28515625" style="73" customWidth="1"/>
    <col min="10" max="10" width="12" style="73" customWidth="1"/>
    <col min="11" max="11" width="16.140625" style="73" bestFit="1" customWidth="1"/>
    <col min="12" max="12" width="9.140625" style="73" customWidth="1"/>
    <col min="13" max="13" width="12.85546875" style="73" customWidth="1"/>
    <col min="14" max="14" width="3.140625" style="73" customWidth="1"/>
    <col min="15" max="15" width="28.42578125" style="73" customWidth="1"/>
    <col min="16" max="16" width="9.140625" style="73" customWidth="1"/>
    <col min="17" max="17" width="14.5703125" style="73" hidden="1" customWidth="1"/>
    <col min="18" max="19" width="9.140625" style="73" customWidth="1"/>
    <col min="20" max="20" width="14.7109375" style="73" customWidth="1"/>
    <col min="21" max="223" width="9.140625" style="73" customWidth="1"/>
    <col min="224" max="16384" width="1.140625" style="73"/>
  </cols>
  <sheetData>
    <row r="1" spans="1:17" x14ac:dyDescent="0.25">
      <c r="A1" s="80"/>
      <c r="C1" s="140"/>
      <c r="D1" s="80"/>
      <c r="E1" s="80"/>
      <c r="F1" s="80"/>
      <c r="G1" s="116"/>
      <c r="H1" s="116"/>
      <c r="I1" s="80"/>
      <c r="J1" s="80"/>
    </row>
    <row r="2" spans="1:17" x14ac:dyDescent="0.25">
      <c r="A2" s="80"/>
      <c r="B2" s="445" t="s">
        <v>175</v>
      </c>
      <c r="C2" s="446"/>
      <c r="D2" s="446"/>
      <c r="E2" s="446"/>
      <c r="F2" s="446"/>
      <c r="G2" s="446"/>
      <c r="H2" s="446"/>
      <c r="I2" s="446"/>
      <c r="J2" s="197"/>
      <c r="K2" s="81"/>
      <c r="L2" s="81"/>
      <c r="M2" s="81"/>
      <c r="N2" s="81"/>
      <c r="O2" s="81"/>
    </row>
    <row r="3" spans="1:17" x14ac:dyDescent="0.25">
      <c r="A3" s="80"/>
      <c r="B3" s="176"/>
      <c r="C3" s="82"/>
      <c r="D3" s="83"/>
      <c r="E3" s="83"/>
      <c r="F3" s="83"/>
      <c r="G3" s="182"/>
      <c r="H3" s="182"/>
      <c r="I3" s="80"/>
      <c r="J3" s="80"/>
    </row>
    <row r="4" spans="1:17" x14ac:dyDescent="0.25">
      <c r="A4" s="80"/>
      <c r="B4" s="443" t="s">
        <v>28</v>
      </c>
      <c r="C4" s="444"/>
      <c r="D4" s="444"/>
      <c r="E4" s="444"/>
      <c r="F4" s="444"/>
      <c r="G4" s="183" t="s">
        <v>5</v>
      </c>
      <c r="H4" s="448" t="s">
        <v>4</v>
      </c>
      <c r="I4" s="449"/>
      <c r="J4" s="449"/>
      <c r="K4" s="74" t="s">
        <v>137</v>
      </c>
      <c r="L4" s="74" t="s">
        <v>127</v>
      </c>
    </row>
    <row r="5" spans="1:17" ht="30" x14ac:dyDescent="0.25">
      <c r="A5" s="80"/>
      <c r="B5" s="177" t="s">
        <v>41</v>
      </c>
      <c r="C5" s="84" t="s">
        <v>55</v>
      </c>
      <c r="D5" s="84" t="s">
        <v>283</v>
      </c>
      <c r="E5" s="374" t="s">
        <v>282</v>
      </c>
      <c r="F5" s="85" t="s">
        <v>56</v>
      </c>
      <c r="G5" s="184" t="s">
        <v>44</v>
      </c>
      <c r="H5" s="192" t="s">
        <v>150</v>
      </c>
      <c r="I5" s="86" t="s">
        <v>47</v>
      </c>
      <c r="J5" s="198" t="s">
        <v>173</v>
      </c>
      <c r="K5" s="74"/>
      <c r="L5" s="74"/>
      <c r="M5" s="73" t="s">
        <v>176</v>
      </c>
    </row>
    <row r="6" spans="1:17" x14ac:dyDescent="0.25">
      <c r="A6" s="80"/>
      <c r="B6" s="229">
        <v>43922</v>
      </c>
      <c r="D6" s="88" t="s">
        <v>340</v>
      </c>
      <c r="E6" s="375"/>
      <c r="F6" s="89"/>
      <c r="G6" s="200">
        <v>6061.85</v>
      </c>
      <c r="H6" s="90"/>
      <c r="I6" s="91"/>
      <c r="J6" s="199"/>
      <c r="N6" s="92"/>
      <c r="O6" s="93" t="s">
        <v>84</v>
      </c>
      <c r="Q6" s="73" t="s">
        <v>130</v>
      </c>
    </row>
    <row r="7" spans="1:17" x14ac:dyDescent="0.25">
      <c r="A7" s="80"/>
      <c r="B7" s="230" t="s">
        <v>190</v>
      </c>
      <c r="C7" s="87" t="s">
        <v>191</v>
      </c>
      <c r="D7" s="94" t="s">
        <v>285</v>
      </c>
      <c r="E7" s="376" t="s">
        <v>284</v>
      </c>
      <c r="F7" s="95"/>
      <c r="G7" s="91">
        <v>0.19</v>
      </c>
      <c r="H7" s="90"/>
      <c r="I7" s="91"/>
      <c r="J7" s="199"/>
      <c r="K7" s="73" t="s">
        <v>5</v>
      </c>
      <c r="L7" s="73">
        <v>3</v>
      </c>
      <c r="M7" s="78">
        <f>SUM(H7:I7)-J7</f>
        <v>0</v>
      </c>
      <c r="N7" s="92"/>
      <c r="O7" s="93"/>
    </row>
    <row r="8" spans="1:17" x14ac:dyDescent="0.25">
      <c r="A8" s="80"/>
      <c r="B8" s="230" t="s">
        <v>186</v>
      </c>
      <c r="C8" s="87" t="s">
        <v>187</v>
      </c>
      <c r="D8" s="94" t="s">
        <v>188</v>
      </c>
      <c r="E8" s="376" t="s">
        <v>286</v>
      </c>
      <c r="F8" s="95" t="s">
        <v>189</v>
      </c>
      <c r="G8" s="91"/>
      <c r="H8" s="90">
        <v>313.61</v>
      </c>
      <c r="I8" s="91"/>
      <c r="J8" s="199">
        <v>313.61</v>
      </c>
      <c r="K8" s="73" t="s">
        <v>12</v>
      </c>
      <c r="L8" s="73">
        <v>5</v>
      </c>
      <c r="M8" s="78">
        <f t="shared" ref="M8:M71" si="0">SUM(H8:I8)-J8</f>
        <v>0</v>
      </c>
      <c r="N8" s="92">
        <v>1</v>
      </c>
      <c r="O8" s="96" t="s">
        <v>125</v>
      </c>
      <c r="Q8" s="75" t="s">
        <v>12</v>
      </c>
    </row>
    <row r="9" spans="1:17" x14ac:dyDescent="0.25">
      <c r="A9" s="80"/>
      <c r="B9" s="230" t="s">
        <v>186</v>
      </c>
      <c r="C9" s="87" t="s">
        <v>193</v>
      </c>
      <c r="D9" s="94" t="s">
        <v>194</v>
      </c>
      <c r="E9" s="376" t="s">
        <v>304</v>
      </c>
      <c r="F9" s="95" t="s">
        <v>189</v>
      </c>
      <c r="G9" s="91"/>
      <c r="H9" s="90">
        <v>385</v>
      </c>
      <c r="I9" s="91"/>
      <c r="J9" s="199">
        <v>385</v>
      </c>
      <c r="K9" s="73" t="s">
        <v>129</v>
      </c>
      <c r="L9" s="73">
        <v>10</v>
      </c>
      <c r="M9" s="78">
        <f t="shared" si="0"/>
        <v>0</v>
      </c>
      <c r="N9" s="92">
        <v>2</v>
      </c>
      <c r="O9" s="97" t="s">
        <v>165</v>
      </c>
      <c r="Q9" s="75" t="s">
        <v>128</v>
      </c>
    </row>
    <row r="10" spans="1:17" x14ac:dyDescent="0.25">
      <c r="A10" s="80"/>
      <c r="B10" s="230" t="s">
        <v>186</v>
      </c>
      <c r="C10" s="87" t="s">
        <v>195</v>
      </c>
      <c r="D10" s="94" t="s">
        <v>287</v>
      </c>
      <c r="E10" s="94" t="s">
        <v>197</v>
      </c>
      <c r="F10" s="95" t="s">
        <v>189</v>
      </c>
      <c r="G10" s="91"/>
      <c r="H10" s="90">
        <v>25</v>
      </c>
      <c r="I10" s="91"/>
      <c r="J10" s="199">
        <v>25</v>
      </c>
      <c r="K10" s="73" t="s">
        <v>129</v>
      </c>
      <c r="L10" s="73">
        <v>6</v>
      </c>
      <c r="M10" s="78">
        <f t="shared" si="0"/>
        <v>0</v>
      </c>
      <c r="N10" s="92">
        <v>3</v>
      </c>
      <c r="O10" s="97" t="s">
        <v>120</v>
      </c>
      <c r="Q10" s="75" t="s">
        <v>129</v>
      </c>
    </row>
    <row r="11" spans="1:17" x14ac:dyDescent="0.25">
      <c r="A11" s="80"/>
      <c r="B11" s="230" t="s">
        <v>186</v>
      </c>
      <c r="C11" s="87" t="s">
        <v>196</v>
      </c>
      <c r="D11" s="94" t="s">
        <v>288</v>
      </c>
      <c r="E11" s="94" t="s">
        <v>289</v>
      </c>
      <c r="F11" s="95" t="s">
        <v>189</v>
      </c>
      <c r="G11" s="91"/>
      <c r="H11" s="90">
        <v>35</v>
      </c>
      <c r="I11" s="91">
        <v>7</v>
      </c>
      <c r="J11" s="199">
        <v>42</v>
      </c>
      <c r="K11" s="73" t="s">
        <v>129</v>
      </c>
      <c r="L11" s="73">
        <v>12</v>
      </c>
      <c r="M11" s="78">
        <f t="shared" si="0"/>
        <v>0</v>
      </c>
      <c r="N11" s="92">
        <v>4</v>
      </c>
      <c r="O11" s="98" t="s">
        <v>146</v>
      </c>
      <c r="Q11" s="75" t="s">
        <v>13</v>
      </c>
    </row>
    <row r="12" spans="1:17" x14ac:dyDescent="0.25">
      <c r="A12" s="80"/>
      <c r="B12" s="230" t="s">
        <v>186</v>
      </c>
      <c r="C12" s="87" t="s">
        <v>198</v>
      </c>
      <c r="D12" s="94" t="s">
        <v>341</v>
      </c>
      <c r="E12" s="94" t="s">
        <v>341</v>
      </c>
      <c r="F12" s="95" t="s">
        <v>189</v>
      </c>
      <c r="G12" s="91"/>
      <c r="H12" s="90">
        <v>324.32</v>
      </c>
      <c r="I12" s="91"/>
      <c r="J12" s="199">
        <v>324.32</v>
      </c>
      <c r="K12" s="73" t="s">
        <v>129</v>
      </c>
      <c r="L12" s="73">
        <v>1</v>
      </c>
      <c r="M12" s="78">
        <f t="shared" si="0"/>
        <v>0</v>
      </c>
      <c r="N12" s="92">
        <v>5</v>
      </c>
      <c r="O12" s="98" t="s">
        <v>147</v>
      </c>
      <c r="Q12" s="75" t="s">
        <v>10</v>
      </c>
    </row>
    <row r="13" spans="1:17" ht="18" customHeight="1" thickBot="1" x14ac:dyDescent="0.3">
      <c r="A13" s="80"/>
      <c r="B13" s="230" t="s">
        <v>186</v>
      </c>
      <c r="C13" s="87" t="s">
        <v>199</v>
      </c>
      <c r="D13" s="94" t="s">
        <v>200</v>
      </c>
      <c r="E13" s="94" t="s">
        <v>200</v>
      </c>
      <c r="F13" s="95" t="s">
        <v>189</v>
      </c>
      <c r="G13" s="91"/>
      <c r="H13" s="90">
        <v>293.82</v>
      </c>
      <c r="I13" s="91"/>
      <c r="J13" s="90">
        <v>293.82</v>
      </c>
      <c r="K13" s="73" t="s">
        <v>10</v>
      </c>
      <c r="L13" s="73">
        <v>1</v>
      </c>
      <c r="M13" s="78">
        <f t="shared" si="0"/>
        <v>0</v>
      </c>
      <c r="N13" s="92">
        <v>6</v>
      </c>
      <c r="O13" s="99" t="s">
        <v>126</v>
      </c>
      <c r="Q13" s="75" t="s">
        <v>133</v>
      </c>
    </row>
    <row r="14" spans="1:17" x14ac:dyDescent="0.25">
      <c r="A14" s="80"/>
      <c r="B14" s="230" t="s">
        <v>204</v>
      </c>
      <c r="C14" s="87" t="s">
        <v>205</v>
      </c>
      <c r="D14" s="94" t="s">
        <v>290</v>
      </c>
      <c r="E14" s="94" t="s">
        <v>8</v>
      </c>
      <c r="F14" s="95"/>
      <c r="G14" s="91">
        <v>21375</v>
      </c>
      <c r="H14" s="90"/>
      <c r="I14" s="91"/>
      <c r="J14" s="90"/>
      <c r="K14" s="73" t="s">
        <v>5</v>
      </c>
      <c r="L14" s="73">
        <v>1</v>
      </c>
      <c r="M14" s="78">
        <f>SUM(H15:I15)-J15</f>
        <v>0</v>
      </c>
      <c r="N14" s="100"/>
      <c r="O14" s="101" t="s">
        <v>83</v>
      </c>
      <c r="Q14" s="75" t="s">
        <v>5</v>
      </c>
    </row>
    <row r="15" spans="1:17" x14ac:dyDescent="0.25">
      <c r="A15" s="80"/>
      <c r="B15" s="230" t="s">
        <v>201</v>
      </c>
      <c r="C15" s="87" t="s">
        <v>202</v>
      </c>
      <c r="D15" s="94" t="s">
        <v>342</v>
      </c>
      <c r="E15" s="94" t="s">
        <v>291</v>
      </c>
      <c r="F15" s="95" t="s">
        <v>203</v>
      </c>
      <c r="G15" s="91"/>
      <c r="H15" s="90">
        <v>25.08</v>
      </c>
      <c r="I15" s="91">
        <v>5.0199999999999996</v>
      </c>
      <c r="J15" s="199">
        <v>30.1</v>
      </c>
      <c r="K15" s="73" t="s">
        <v>129</v>
      </c>
      <c r="L15" s="73">
        <v>4</v>
      </c>
      <c r="M15" s="78" t="s">
        <v>172</v>
      </c>
      <c r="N15" s="100">
        <v>1</v>
      </c>
      <c r="O15" s="102" t="s">
        <v>155</v>
      </c>
      <c r="Q15" s="75"/>
    </row>
    <row r="16" spans="1:17" x14ac:dyDescent="0.25">
      <c r="A16" s="80"/>
      <c r="B16" s="230" t="s">
        <v>206</v>
      </c>
      <c r="C16" s="87" t="s">
        <v>207</v>
      </c>
      <c r="D16" s="94" t="s">
        <v>208</v>
      </c>
      <c r="E16" s="94" t="s">
        <v>76</v>
      </c>
      <c r="F16" s="95" t="s">
        <v>189</v>
      </c>
      <c r="G16" s="91"/>
      <c r="H16" s="90">
        <v>600</v>
      </c>
      <c r="I16" s="91"/>
      <c r="J16" s="201">
        <v>600</v>
      </c>
      <c r="K16" s="73" t="s">
        <v>13</v>
      </c>
      <c r="L16" s="73">
        <v>1</v>
      </c>
      <c r="M16" s="78">
        <f t="shared" si="0"/>
        <v>0</v>
      </c>
      <c r="N16" s="100">
        <v>2</v>
      </c>
      <c r="O16" s="97" t="s">
        <v>104</v>
      </c>
    </row>
    <row r="17" spans="1:17" x14ac:dyDescent="0.25">
      <c r="A17" s="80"/>
      <c r="B17" s="230" t="s">
        <v>210</v>
      </c>
      <c r="C17" s="87" t="s">
        <v>211</v>
      </c>
      <c r="D17" s="94" t="s">
        <v>285</v>
      </c>
      <c r="E17" s="94" t="s">
        <v>192</v>
      </c>
      <c r="F17" s="95"/>
      <c r="G17" s="91">
        <v>0.89</v>
      </c>
      <c r="H17" s="90"/>
      <c r="I17" s="91"/>
      <c r="J17" s="199"/>
      <c r="K17" s="73" t="s">
        <v>5</v>
      </c>
      <c r="L17" s="73">
        <v>3</v>
      </c>
      <c r="M17" s="78">
        <f t="shared" si="0"/>
        <v>0</v>
      </c>
      <c r="N17" s="100">
        <v>3</v>
      </c>
      <c r="O17" s="97" t="s">
        <v>95</v>
      </c>
      <c r="Q17" s="73" t="s">
        <v>131</v>
      </c>
    </row>
    <row r="18" spans="1:17" x14ac:dyDescent="0.25">
      <c r="A18" s="80"/>
      <c r="B18" s="230" t="s">
        <v>212</v>
      </c>
      <c r="C18" s="87" t="s">
        <v>213</v>
      </c>
      <c r="D18" s="94" t="s">
        <v>342</v>
      </c>
      <c r="E18" s="94" t="s">
        <v>291</v>
      </c>
      <c r="F18" s="95" t="s">
        <v>203</v>
      </c>
      <c r="G18" s="91"/>
      <c r="H18" s="90">
        <v>25.08</v>
      </c>
      <c r="I18" s="91">
        <v>5.0199999999999996</v>
      </c>
      <c r="J18" s="199">
        <v>30.1</v>
      </c>
      <c r="K18" s="73" t="s">
        <v>129</v>
      </c>
      <c r="L18" s="73">
        <v>4</v>
      </c>
      <c r="M18" s="78">
        <f t="shared" si="0"/>
        <v>0</v>
      </c>
      <c r="N18" s="100">
        <v>4</v>
      </c>
      <c r="O18" s="97" t="s">
        <v>105</v>
      </c>
      <c r="Q18" s="73">
        <v>1</v>
      </c>
    </row>
    <row r="19" spans="1:17" x14ac:dyDescent="0.25">
      <c r="A19" s="80"/>
      <c r="B19" s="230" t="s">
        <v>214</v>
      </c>
      <c r="C19" s="87" t="s">
        <v>215</v>
      </c>
      <c r="D19" s="94" t="s">
        <v>216</v>
      </c>
      <c r="E19" s="94" t="s">
        <v>25</v>
      </c>
      <c r="F19" s="95" t="s">
        <v>189</v>
      </c>
      <c r="G19" s="91"/>
      <c r="H19" s="90">
        <v>140</v>
      </c>
      <c r="I19" s="91"/>
      <c r="J19" s="199">
        <v>140</v>
      </c>
      <c r="K19" s="73" t="s">
        <v>129</v>
      </c>
      <c r="L19" s="73">
        <v>4</v>
      </c>
      <c r="M19" s="78">
        <f t="shared" si="0"/>
        <v>0</v>
      </c>
      <c r="N19" s="100">
        <v>5</v>
      </c>
      <c r="O19" s="97" t="s">
        <v>106</v>
      </c>
      <c r="Q19" s="73">
        <v>2</v>
      </c>
    </row>
    <row r="20" spans="1:17" x14ac:dyDescent="0.25">
      <c r="A20" s="80"/>
      <c r="B20" s="230" t="s">
        <v>214</v>
      </c>
      <c r="C20" s="87" t="s">
        <v>217</v>
      </c>
      <c r="D20" s="94" t="s">
        <v>188</v>
      </c>
      <c r="E20" s="94" t="s">
        <v>286</v>
      </c>
      <c r="F20" s="95" t="s">
        <v>189</v>
      </c>
      <c r="G20" s="91"/>
      <c r="H20" s="90">
        <v>27.5</v>
      </c>
      <c r="I20" s="91"/>
      <c r="J20" s="199">
        <v>27.5</v>
      </c>
      <c r="K20" s="73" t="s">
        <v>12</v>
      </c>
      <c r="L20" s="73">
        <v>5</v>
      </c>
      <c r="M20" s="78">
        <f t="shared" si="0"/>
        <v>0</v>
      </c>
      <c r="N20" s="100">
        <v>6</v>
      </c>
      <c r="O20" s="97" t="s">
        <v>110</v>
      </c>
      <c r="Q20" s="73">
        <v>3</v>
      </c>
    </row>
    <row r="21" spans="1:17" x14ac:dyDescent="0.25">
      <c r="A21" s="80"/>
      <c r="B21" s="230" t="s">
        <v>214</v>
      </c>
      <c r="C21" s="87" t="s">
        <v>218</v>
      </c>
      <c r="D21" s="94" t="s">
        <v>219</v>
      </c>
      <c r="E21" s="94" t="s">
        <v>341</v>
      </c>
      <c r="F21" s="95" t="s">
        <v>189</v>
      </c>
      <c r="G21" s="91"/>
      <c r="H21" s="90">
        <v>296.14999999999998</v>
      </c>
      <c r="I21" s="91"/>
      <c r="J21" s="199">
        <v>296.14999999999998</v>
      </c>
      <c r="K21" s="73" t="s">
        <v>129</v>
      </c>
      <c r="L21" s="73">
        <v>1</v>
      </c>
      <c r="M21" s="78">
        <f t="shared" si="0"/>
        <v>0</v>
      </c>
      <c r="N21" s="100">
        <v>7</v>
      </c>
      <c r="O21" s="97" t="s">
        <v>111</v>
      </c>
      <c r="Q21" s="73">
        <v>4</v>
      </c>
    </row>
    <row r="22" spans="1:17" x14ac:dyDescent="0.25">
      <c r="A22" s="80"/>
      <c r="B22" s="230" t="s">
        <v>214</v>
      </c>
      <c r="C22" s="87" t="s">
        <v>220</v>
      </c>
      <c r="D22" s="94" t="s">
        <v>209</v>
      </c>
      <c r="E22" s="94" t="s">
        <v>209</v>
      </c>
      <c r="F22" s="95" t="s">
        <v>189</v>
      </c>
      <c r="G22" s="91"/>
      <c r="H22" s="90">
        <v>54.48</v>
      </c>
      <c r="I22" s="91"/>
      <c r="J22" s="199">
        <v>54.48</v>
      </c>
      <c r="K22" s="73" t="s">
        <v>129</v>
      </c>
      <c r="L22" s="73">
        <v>2</v>
      </c>
      <c r="M22" s="78">
        <f t="shared" si="0"/>
        <v>0</v>
      </c>
      <c r="N22" s="100">
        <v>8</v>
      </c>
      <c r="O22" s="97" t="s">
        <v>112</v>
      </c>
      <c r="Q22" s="73">
        <v>5</v>
      </c>
    </row>
    <row r="23" spans="1:17" x14ac:dyDescent="0.25">
      <c r="A23" s="80"/>
      <c r="B23" s="230" t="s">
        <v>214</v>
      </c>
      <c r="C23" s="87" t="s">
        <v>221</v>
      </c>
      <c r="D23" s="94" t="s">
        <v>287</v>
      </c>
      <c r="E23" s="94" t="s">
        <v>222</v>
      </c>
      <c r="F23" s="95" t="s">
        <v>189</v>
      </c>
      <c r="G23" s="91"/>
      <c r="H23" s="90">
        <v>25</v>
      </c>
      <c r="I23" s="91"/>
      <c r="J23" s="199">
        <v>25</v>
      </c>
      <c r="K23" s="73" t="s">
        <v>129</v>
      </c>
      <c r="L23" s="73">
        <v>6</v>
      </c>
      <c r="M23" s="78">
        <f t="shared" si="0"/>
        <v>0</v>
      </c>
      <c r="N23" s="100">
        <v>9</v>
      </c>
      <c r="O23" s="97" t="s">
        <v>108</v>
      </c>
      <c r="Q23" s="73">
        <v>6</v>
      </c>
    </row>
    <row r="24" spans="1:17" x14ac:dyDescent="0.25">
      <c r="A24" s="80"/>
      <c r="B24" s="230" t="s">
        <v>223</v>
      </c>
      <c r="C24" s="87" t="s">
        <v>224</v>
      </c>
      <c r="D24" s="94" t="s">
        <v>225</v>
      </c>
      <c r="E24" s="94" t="s">
        <v>292</v>
      </c>
      <c r="F24" s="95" t="s">
        <v>189</v>
      </c>
      <c r="G24" s="91"/>
      <c r="H24" s="90">
        <v>68.5</v>
      </c>
      <c r="I24" s="91">
        <v>13.7</v>
      </c>
      <c r="J24" s="199">
        <v>82.2</v>
      </c>
      <c r="K24" s="73" t="s">
        <v>13</v>
      </c>
      <c r="L24" s="73">
        <v>2</v>
      </c>
      <c r="M24" s="78">
        <f t="shared" si="0"/>
        <v>0</v>
      </c>
      <c r="N24" s="100">
        <v>10</v>
      </c>
      <c r="O24" s="97" t="s">
        <v>120</v>
      </c>
      <c r="Q24" s="73">
        <v>7</v>
      </c>
    </row>
    <row r="25" spans="1:17" x14ac:dyDescent="0.25">
      <c r="A25" s="80"/>
      <c r="B25" s="230" t="s">
        <v>226</v>
      </c>
      <c r="C25" s="87" t="s">
        <v>227</v>
      </c>
      <c r="D25" s="94" t="s">
        <v>208</v>
      </c>
      <c r="E25" s="94" t="s">
        <v>76</v>
      </c>
      <c r="F25" s="95" t="s">
        <v>189</v>
      </c>
      <c r="G25" s="91"/>
      <c r="H25" s="90">
        <v>600</v>
      </c>
      <c r="I25" s="91"/>
      <c r="J25" s="199">
        <v>600</v>
      </c>
      <c r="K25" s="73" t="s">
        <v>13</v>
      </c>
      <c r="L25" s="73">
        <v>1</v>
      </c>
      <c r="M25" s="78">
        <f t="shared" si="0"/>
        <v>0</v>
      </c>
      <c r="N25" s="100" t="s">
        <v>172</v>
      </c>
      <c r="O25" s="97"/>
      <c r="Q25" s="73">
        <v>8</v>
      </c>
    </row>
    <row r="26" spans="1:17" ht="15.75" thickBot="1" x14ac:dyDescent="0.3">
      <c r="A26" s="80"/>
      <c r="B26" s="230" t="s">
        <v>226</v>
      </c>
      <c r="C26" s="87" t="s">
        <v>228</v>
      </c>
      <c r="D26" s="94" t="s">
        <v>293</v>
      </c>
      <c r="E26" s="94" t="s">
        <v>294</v>
      </c>
      <c r="F26" s="95" t="s">
        <v>189</v>
      </c>
      <c r="G26" s="91"/>
      <c r="H26" s="90">
        <v>175</v>
      </c>
      <c r="I26" s="91"/>
      <c r="J26" s="199">
        <v>175</v>
      </c>
      <c r="K26" s="73" t="s">
        <v>13</v>
      </c>
      <c r="L26" s="73">
        <v>2</v>
      </c>
      <c r="M26" s="78">
        <f t="shared" si="0"/>
        <v>0</v>
      </c>
      <c r="N26" s="100">
        <v>12</v>
      </c>
      <c r="O26" s="103" t="s">
        <v>141</v>
      </c>
      <c r="Q26" s="73">
        <v>9</v>
      </c>
    </row>
    <row r="27" spans="1:17" x14ac:dyDescent="0.25">
      <c r="A27" s="80"/>
      <c r="B27" s="230" t="s">
        <v>226</v>
      </c>
      <c r="C27" s="87" t="s">
        <v>229</v>
      </c>
      <c r="D27" s="94" t="s">
        <v>295</v>
      </c>
      <c r="E27" s="94" t="s">
        <v>296</v>
      </c>
      <c r="F27" s="95" t="s">
        <v>189</v>
      </c>
      <c r="G27" s="91"/>
      <c r="H27" s="90">
        <v>1250</v>
      </c>
      <c r="I27" s="91"/>
      <c r="J27" s="199">
        <v>1250</v>
      </c>
      <c r="K27" s="73" t="s">
        <v>128</v>
      </c>
      <c r="L27" s="73">
        <v>1</v>
      </c>
      <c r="M27" s="78">
        <f t="shared" si="0"/>
        <v>0</v>
      </c>
      <c r="N27" s="104"/>
      <c r="O27" s="105" t="s">
        <v>82</v>
      </c>
      <c r="Q27" s="73">
        <v>10</v>
      </c>
    </row>
    <row r="28" spans="1:17" x14ac:dyDescent="0.25">
      <c r="A28" s="80"/>
      <c r="B28" s="230" t="s">
        <v>226</v>
      </c>
      <c r="C28" s="87" t="s">
        <v>230</v>
      </c>
      <c r="D28" s="94" t="s">
        <v>295</v>
      </c>
      <c r="E28" s="94" t="s">
        <v>297</v>
      </c>
      <c r="F28" s="95" t="s">
        <v>189</v>
      </c>
      <c r="G28" s="91"/>
      <c r="H28" s="90">
        <v>1200</v>
      </c>
      <c r="I28" s="91"/>
      <c r="J28" s="199">
        <v>1200</v>
      </c>
      <c r="K28" s="73" t="s">
        <v>128</v>
      </c>
      <c r="L28" s="73">
        <v>4</v>
      </c>
      <c r="M28" s="78">
        <f t="shared" si="0"/>
        <v>0</v>
      </c>
      <c r="N28" s="104">
        <v>1</v>
      </c>
      <c r="O28" s="97" t="s">
        <v>76</v>
      </c>
      <c r="Q28" s="73">
        <v>11</v>
      </c>
    </row>
    <row r="29" spans="1:17" x14ac:dyDescent="0.25">
      <c r="A29" s="80"/>
      <c r="B29" s="230" t="s">
        <v>226</v>
      </c>
      <c r="C29" s="87" t="s">
        <v>231</v>
      </c>
      <c r="D29" s="94" t="s">
        <v>298</v>
      </c>
      <c r="E29" s="94" t="s">
        <v>299</v>
      </c>
      <c r="F29" s="95" t="s">
        <v>189</v>
      </c>
      <c r="G29" s="91"/>
      <c r="H29" s="90">
        <v>497.31</v>
      </c>
      <c r="I29" s="91"/>
      <c r="J29" s="199">
        <v>497.31</v>
      </c>
      <c r="K29" s="73" t="s">
        <v>129</v>
      </c>
      <c r="L29" s="73">
        <v>10</v>
      </c>
      <c r="M29" s="78">
        <f t="shared" si="0"/>
        <v>0</v>
      </c>
      <c r="N29" s="104">
        <v>2</v>
      </c>
      <c r="O29" s="98" t="s">
        <v>14</v>
      </c>
      <c r="Q29" s="73">
        <v>12</v>
      </c>
    </row>
    <row r="30" spans="1:17" ht="15.75" thickBot="1" x14ac:dyDescent="0.3">
      <c r="A30" s="80"/>
      <c r="B30" s="230" t="s">
        <v>236</v>
      </c>
      <c r="C30" s="87" t="s">
        <v>237</v>
      </c>
      <c r="D30" s="94" t="s">
        <v>285</v>
      </c>
      <c r="E30" s="94" t="s">
        <v>192</v>
      </c>
      <c r="F30" s="95"/>
      <c r="G30" s="91">
        <v>0.93</v>
      </c>
      <c r="H30" s="90"/>
      <c r="I30" s="91"/>
      <c r="J30" s="199"/>
      <c r="K30" s="73" t="s">
        <v>5</v>
      </c>
      <c r="L30" s="73">
        <v>3</v>
      </c>
      <c r="M30" s="78">
        <f t="shared" si="0"/>
        <v>0</v>
      </c>
      <c r="N30" s="104">
        <v>3</v>
      </c>
      <c r="O30" s="99" t="s">
        <v>135</v>
      </c>
      <c r="Q30" s="73">
        <v>13</v>
      </c>
    </row>
    <row r="31" spans="1:17" x14ac:dyDescent="0.25">
      <c r="A31" s="80"/>
      <c r="B31" s="230" t="s">
        <v>239</v>
      </c>
      <c r="C31" s="87" t="s">
        <v>240</v>
      </c>
      <c r="D31" s="94" t="s">
        <v>18</v>
      </c>
      <c r="E31" s="94" t="s">
        <v>300</v>
      </c>
      <c r="F31" s="95" t="s">
        <v>189</v>
      </c>
      <c r="G31" s="91"/>
      <c r="H31" s="90">
        <v>89</v>
      </c>
      <c r="I31" s="91"/>
      <c r="J31" s="199">
        <v>89</v>
      </c>
      <c r="K31" s="73" t="s">
        <v>10</v>
      </c>
      <c r="L31" s="73">
        <v>2</v>
      </c>
      <c r="M31" s="78">
        <f t="shared" si="0"/>
        <v>0</v>
      </c>
      <c r="N31" s="106"/>
      <c r="O31" s="107" t="s">
        <v>81</v>
      </c>
      <c r="Q31" s="73">
        <v>14</v>
      </c>
    </row>
    <row r="32" spans="1:17" x14ac:dyDescent="0.25">
      <c r="A32" s="80"/>
      <c r="B32" s="230" t="s">
        <v>239</v>
      </c>
      <c r="C32" s="87" t="s">
        <v>241</v>
      </c>
      <c r="D32" s="94" t="s">
        <v>242</v>
      </c>
      <c r="E32" s="94" t="s">
        <v>341</v>
      </c>
      <c r="F32" s="95" t="s">
        <v>189</v>
      </c>
      <c r="G32" s="91"/>
      <c r="H32" s="90">
        <v>291</v>
      </c>
      <c r="I32" s="91"/>
      <c r="J32" s="199">
        <v>291</v>
      </c>
      <c r="K32" s="73" t="s">
        <v>129</v>
      </c>
      <c r="L32" s="73">
        <v>1</v>
      </c>
      <c r="M32" s="78">
        <f t="shared" si="0"/>
        <v>0</v>
      </c>
      <c r="N32" s="108">
        <v>1</v>
      </c>
      <c r="O32" s="102" t="s">
        <v>11</v>
      </c>
      <c r="Q32" s="73">
        <v>15</v>
      </c>
    </row>
    <row r="33" spans="1:15" x14ac:dyDescent="0.25">
      <c r="A33" s="80"/>
      <c r="B33" s="230" t="s">
        <v>239</v>
      </c>
      <c r="C33" s="87" t="s">
        <v>243</v>
      </c>
      <c r="D33" s="94" t="s">
        <v>209</v>
      </c>
      <c r="E33" s="94" t="s">
        <v>209</v>
      </c>
      <c r="F33" s="95" t="s">
        <v>189</v>
      </c>
      <c r="G33" s="91"/>
      <c r="H33" s="90">
        <v>62.97</v>
      </c>
      <c r="I33" s="91"/>
      <c r="J33" s="199">
        <v>62.97</v>
      </c>
      <c r="K33" s="73" t="s">
        <v>129</v>
      </c>
      <c r="L33" s="73">
        <v>4</v>
      </c>
      <c r="M33" s="78">
        <f t="shared" si="0"/>
        <v>0</v>
      </c>
      <c r="N33" s="106">
        <v>2</v>
      </c>
      <c r="O33" s="102" t="s">
        <v>16</v>
      </c>
    </row>
    <row r="34" spans="1:15" x14ac:dyDescent="0.25">
      <c r="A34" s="80"/>
      <c r="B34" s="230" t="s">
        <v>239</v>
      </c>
      <c r="C34" s="87" t="s">
        <v>244</v>
      </c>
      <c r="D34" s="94" t="s">
        <v>245</v>
      </c>
      <c r="E34" s="94" t="s">
        <v>301</v>
      </c>
      <c r="F34" s="95" t="s">
        <v>189</v>
      </c>
      <c r="G34" s="91"/>
      <c r="H34" s="90">
        <v>242.97</v>
      </c>
      <c r="I34" s="91"/>
      <c r="J34" s="199">
        <v>242.97</v>
      </c>
      <c r="K34" s="73" t="s">
        <v>129</v>
      </c>
      <c r="L34" s="73">
        <v>11</v>
      </c>
      <c r="M34" s="78">
        <f t="shared" si="0"/>
        <v>0</v>
      </c>
      <c r="N34" s="106">
        <v>3</v>
      </c>
      <c r="O34" s="97" t="s">
        <v>113</v>
      </c>
    </row>
    <row r="35" spans="1:15" x14ac:dyDescent="0.25">
      <c r="A35" s="80"/>
      <c r="B35" s="230" t="s">
        <v>246</v>
      </c>
      <c r="C35" s="87" t="s">
        <v>248</v>
      </c>
      <c r="D35" s="94" t="s">
        <v>247</v>
      </c>
      <c r="E35" s="94" t="s">
        <v>302</v>
      </c>
      <c r="F35" s="95" t="s">
        <v>189</v>
      </c>
      <c r="G35" s="91"/>
      <c r="H35" s="90">
        <v>440</v>
      </c>
      <c r="I35" s="91"/>
      <c r="J35" s="199">
        <v>440</v>
      </c>
      <c r="K35" s="73" t="s">
        <v>13</v>
      </c>
      <c r="L35" s="73">
        <v>3</v>
      </c>
      <c r="M35" s="78">
        <f t="shared" si="0"/>
        <v>0</v>
      </c>
      <c r="N35" s="106">
        <v>4</v>
      </c>
      <c r="O35" s="97" t="s">
        <v>134</v>
      </c>
    </row>
    <row r="36" spans="1:15" x14ac:dyDescent="0.25">
      <c r="A36" s="80"/>
      <c r="B36" s="178" t="s">
        <v>307</v>
      </c>
      <c r="C36" s="175" t="s">
        <v>308</v>
      </c>
      <c r="D36" s="73" t="s">
        <v>285</v>
      </c>
      <c r="E36" s="73" t="s">
        <v>284</v>
      </c>
      <c r="G36" s="78">
        <v>0.82</v>
      </c>
      <c r="K36" s="73" t="s">
        <v>13</v>
      </c>
      <c r="L36" s="73">
        <v>1</v>
      </c>
      <c r="M36" s="78">
        <f>SUM(H37:I37)-J37</f>
        <v>0</v>
      </c>
      <c r="N36" s="106">
        <v>5</v>
      </c>
      <c r="O36" s="97" t="s">
        <v>114</v>
      </c>
    </row>
    <row r="37" spans="1:15" x14ac:dyDescent="0.25">
      <c r="A37" s="80"/>
      <c r="B37" s="230" t="s">
        <v>305</v>
      </c>
      <c r="C37" s="87" t="s">
        <v>306</v>
      </c>
      <c r="D37" s="94" t="s">
        <v>208</v>
      </c>
      <c r="E37" s="376" t="s">
        <v>76</v>
      </c>
      <c r="F37" s="95" t="s">
        <v>189</v>
      </c>
      <c r="G37" s="91"/>
      <c r="H37" s="90">
        <v>600</v>
      </c>
      <c r="I37" s="91"/>
      <c r="J37" s="199">
        <v>600</v>
      </c>
      <c r="K37" s="73" t="s">
        <v>13</v>
      </c>
      <c r="L37" s="73">
        <v>1</v>
      </c>
      <c r="M37" s="78">
        <f t="shared" ref="M37:M41" si="1">SUM(H38:I38)-J38</f>
        <v>0</v>
      </c>
      <c r="N37" s="106">
        <v>6</v>
      </c>
      <c r="O37" s="97" t="s">
        <v>115</v>
      </c>
    </row>
    <row r="38" spans="1:15" x14ac:dyDescent="0.25">
      <c r="A38" s="80"/>
      <c r="B38" s="230" t="s">
        <v>309</v>
      </c>
      <c r="C38" s="87" t="s">
        <v>310</v>
      </c>
      <c r="D38" s="94" t="s">
        <v>209</v>
      </c>
      <c r="E38" s="376" t="s">
        <v>209</v>
      </c>
      <c r="F38" s="95" t="s">
        <v>189</v>
      </c>
      <c r="G38" s="91"/>
      <c r="H38" s="90">
        <v>104.68</v>
      </c>
      <c r="I38" s="91"/>
      <c r="J38" s="199">
        <v>104.68</v>
      </c>
      <c r="K38" s="73" t="s">
        <v>129</v>
      </c>
      <c r="L38" s="73">
        <v>4</v>
      </c>
      <c r="M38" s="78">
        <f t="shared" si="1"/>
        <v>0</v>
      </c>
      <c r="N38" s="106">
        <v>7</v>
      </c>
      <c r="O38" s="97" t="s">
        <v>22</v>
      </c>
    </row>
    <row r="39" spans="1:15" x14ac:dyDescent="0.25">
      <c r="A39" s="80"/>
      <c r="B39" s="230" t="s">
        <v>309</v>
      </c>
      <c r="C39" s="87" t="s">
        <v>311</v>
      </c>
      <c r="D39" s="94" t="s">
        <v>242</v>
      </c>
      <c r="E39" s="376" t="s">
        <v>341</v>
      </c>
      <c r="F39" s="95" t="s">
        <v>189</v>
      </c>
      <c r="G39" s="91"/>
      <c r="H39" s="90">
        <v>288.43</v>
      </c>
      <c r="I39" s="91"/>
      <c r="J39" s="199">
        <v>288.43</v>
      </c>
      <c r="K39" s="73" t="s">
        <v>129</v>
      </c>
      <c r="L39" s="73">
        <v>1</v>
      </c>
      <c r="M39" s="78">
        <f t="shared" si="1"/>
        <v>0</v>
      </c>
      <c r="N39" s="106">
        <v>8</v>
      </c>
      <c r="O39" s="97" t="s">
        <v>77</v>
      </c>
    </row>
    <row r="40" spans="1:15" x14ac:dyDescent="0.25">
      <c r="A40" s="80"/>
      <c r="B40" s="230" t="s">
        <v>312</v>
      </c>
      <c r="C40" s="87" t="s">
        <v>313</v>
      </c>
      <c r="D40" s="94" t="s">
        <v>342</v>
      </c>
      <c r="E40" s="376" t="s">
        <v>291</v>
      </c>
      <c r="F40" s="191" t="s">
        <v>189</v>
      </c>
      <c r="G40" s="91"/>
      <c r="H40" s="90">
        <v>25.08</v>
      </c>
      <c r="I40" s="91">
        <v>5.0199999999999996</v>
      </c>
      <c r="J40" s="199">
        <v>30.1</v>
      </c>
      <c r="K40" s="73" t="s">
        <v>129</v>
      </c>
      <c r="L40" s="73">
        <v>4</v>
      </c>
      <c r="M40" s="78">
        <f t="shared" si="1"/>
        <v>0</v>
      </c>
      <c r="N40" s="106">
        <v>9</v>
      </c>
      <c r="O40" s="97" t="s">
        <v>23</v>
      </c>
    </row>
    <row r="41" spans="1:15" x14ac:dyDescent="0.25">
      <c r="A41" s="80"/>
      <c r="B41" s="230" t="s">
        <v>314</v>
      </c>
      <c r="C41" s="87" t="s">
        <v>315</v>
      </c>
      <c r="D41" s="94" t="s">
        <v>316</v>
      </c>
      <c r="E41" s="376" t="s">
        <v>317</v>
      </c>
      <c r="F41" s="95"/>
      <c r="G41" s="78">
        <v>3046.81</v>
      </c>
      <c r="H41" s="90"/>
      <c r="I41" s="91"/>
      <c r="J41" s="199"/>
      <c r="K41" s="73" t="s">
        <v>5</v>
      </c>
      <c r="L41" s="73">
        <v>5</v>
      </c>
      <c r="M41" s="78">
        <f t="shared" si="1"/>
        <v>0</v>
      </c>
      <c r="N41" s="106">
        <v>10</v>
      </c>
      <c r="O41" s="97" t="s">
        <v>2</v>
      </c>
    </row>
    <row r="42" spans="1:15" x14ac:dyDescent="0.25">
      <c r="A42" s="80"/>
      <c r="B42" s="230"/>
      <c r="C42" s="87"/>
      <c r="D42" s="94"/>
      <c r="E42" s="376"/>
      <c r="F42" s="95"/>
      <c r="H42" s="90"/>
      <c r="I42" s="91"/>
      <c r="J42" s="199"/>
      <c r="M42" s="78">
        <f t="shared" si="0"/>
        <v>0</v>
      </c>
      <c r="N42" s="106">
        <v>11</v>
      </c>
      <c r="O42" s="98" t="s">
        <v>24</v>
      </c>
    </row>
    <row r="43" spans="1:15" ht="15.75" thickBot="1" x14ac:dyDescent="0.3">
      <c r="A43" s="80"/>
      <c r="B43" s="230"/>
      <c r="C43" s="87"/>
      <c r="D43" s="94"/>
      <c r="E43" s="376"/>
      <c r="F43" s="95"/>
      <c r="H43" s="90"/>
      <c r="I43" s="91"/>
      <c r="J43" s="199"/>
      <c r="M43" s="78">
        <f t="shared" si="0"/>
        <v>0</v>
      </c>
      <c r="N43" s="106">
        <v>12</v>
      </c>
      <c r="O43" s="99" t="s">
        <v>46</v>
      </c>
    </row>
    <row r="44" spans="1:15" x14ac:dyDescent="0.25">
      <c r="A44" s="80"/>
      <c r="B44" s="230"/>
      <c r="C44" s="87"/>
      <c r="D44" s="94"/>
      <c r="E44" s="376"/>
      <c r="F44" s="95"/>
      <c r="G44" s="91"/>
      <c r="H44" s="90"/>
      <c r="I44" s="91"/>
      <c r="J44" s="199"/>
      <c r="M44" s="78">
        <f t="shared" si="0"/>
        <v>0</v>
      </c>
      <c r="N44" s="109"/>
      <c r="O44" s="110" t="s">
        <v>80</v>
      </c>
    </row>
    <row r="45" spans="1:15" x14ac:dyDescent="0.25">
      <c r="A45" s="80"/>
      <c r="B45" s="230"/>
      <c r="C45" s="87"/>
      <c r="D45" s="94"/>
      <c r="E45" s="376"/>
      <c r="F45" s="95"/>
      <c r="G45" s="91"/>
      <c r="H45" s="90"/>
      <c r="I45" s="91"/>
      <c r="J45" s="199"/>
      <c r="M45" s="78">
        <f t="shared" si="0"/>
        <v>0</v>
      </c>
      <c r="N45" s="111">
        <v>1</v>
      </c>
      <c r="O45" s="97" t="s">
        <v>17</v>
      </c>
    </row>
    <row r="46" spans="1:15" x14ac:dyDescent="0.25">
      <c r="A46" s="80"/>
      <c r="B46" s="230"/>
      <c r="C46" s="87"/>
      <c r="D46" s="94"/>
      <c r="E46" s="376"/>
      <c r="F46" s="95"/>
      <c r="G46" s="91"/>
      <c r="H46" s="90"/>
      <c r="I46" s="91"/>
      <c r="J46" s="199"/>
      <c r="M46" s="78">
        <f t="shared" si="0"/>
        <v>0</v>
      </c>
      <c r="N46" s="109">
        <v>2</v>
      </c>
      <c r="O46" s="97" t="s">
        <v>18</v>
      </c>
    </row>
    <row r="47" spans="1:15" x14ac:dyDescent="0.25">
      <c r="A47" s="80"/>
      <c r="B47" s="230"/>
      <c r="C47" s="87"/>
      <c r="D47" s="94"/>
      <c r="E47" s="376"/>
      <c r="F47" s="95"/>
      <c r="G47" s="91"/>
      <c r="H47" s="90"/>
      <c r="I47" s="91"/>
      <c r="J47" s="199"/>
      <c r="M47" s="78">
        <f t="shared" si="0"/>
        <v>0</v>
      </c>
      <c r="N47" s="109">
        <v>3</v>
      </c>
      <c r="O47" s="97" t="s">
        <v>19</v>
      </c>
    </row>
    <row r="48" spans="1:15" x14ac:dyDescent="0.25">
      <c r="A48" s="80"/>
      <c r="B48" s="230"/>
      <c r="C48" s="87"/>
      <c r="D48" s="94"/>
      <c r="E48" s="376"/>
      <c r="F48" s="95"/>
      <c r="G48" s="91"/>
      <c r="H48" s="90"/>
      <c r="I48" s="91"/>
      <c r="J48" s="199"/>
      <c r="M48" s="78">
        <f t="shared" si="0"/>
        <v>0</v>
      </c>
      <c r="N48" s="109">
        <v>4</v>
      </c>
      <c r="O48" s="97" t="s">
        <v>20</v>
      </c>
    </row>
    <row r="49" spans="1:15" x14ac:dyDescent="0.25">
      <c r="A49" s="80"/>
      <c r="B49" s="230"/>
      <c r="C49" s="87"/>
      <c r="D49" s="94"/>
      <c r="E49" s="376"/>
      <c r="F49" s="95"/>
      <c r="G49" s="91"/>
      <c r="H49" s="90"/>
      <c r="I49" s="91"/>
      <c r="J49" s="199"/>
      <c r="M49" s="78">
        <f t="shared" si="0"/>
        <v>0</v>
      </c>
      <c r="N49" s="109">
        <v>5</v>
      </c>
      <c r="O49" s="98" t="s">
        <v>138</v>
      </c>
    </row>
    <row r="50" spans="1:15" ht="15.75" thickBot="1" x14ac:dyDescent="0.3">
      <c r="A50" s="80"/>
      <c r="B50" s="230"/>
      <c r="C50" s="87"/>
      <c r="D50" s="94"/>
      <c r="E50" s="376"/>
      <c r="F50" s="95"/>
      <c r="G50" s="91"/>
      <c r="H50" s="90"/>
      <c r="I50" s="91"/>
      <c r="J50" s="199"/>
      <c r="M50" s="78">
        <f t="shared" si="0"/>
        <v>0</v>
      </c>
      <c r="N50" s="109">
        <v>6</v>
      </c>
      <c r="O50" s="99" t="s">
        <v>21</v>
      </c>
    </row>
    <row r="51" spans="1:15" x14ac:dyDescent="0.25">
      <c r="A51" s="80"/>
      <c r="B51" s="230"/>
      <c r="C51" s="87"/>
      <c r="D51" s="94"/>
      <c r="E51" s="376"/>
      <c r="F51" s="95"/>
      <c r="G51" s="91"/>
      <c r="H51" s="90"/>
      <c r="I51" s="91"/>
      <c r="J51" s="199"/>
      <c r="M51" s="78">
        <f t="shared" si="0"/>
        <v>0</v>
      </c>
      <c r="N51" s="112"/>
      <c r="O51" s="113" t="s">
        <v>79</v>
      </c>
    </row>
    <row r="52" spans="1:15" x14ac:dyDescent="0.25">
      <c r="A52" s="80"/>
      <c r="B52" s="230"/>
      <c r="C52" s="87"/>
      <c r="D52" s="94"/>
      <c r="E52" s="376"/>
      <c r="F52" s="95"/>
      <c r="G52" s="91"/>
      <c r="H52" s="90"/>
      <c r="I52" s="91"/>
      <c r="J52" s="199"/>
      <c r="M52" s="78">
        <f t="shared" si="0"/>
        <v>0</v>
      </c>
      <c r="N52" s="112">
        <v>1</v>
      </c>
      <c r="O52" s="102" t="s">
        <v>25</v>
      </c>
    </row>
    <row r="53" spans="1:15" ht="15.75" thickBot="1" x14ac:dyDescent="0.3">
      <c r="A53" s="80"/>
      <c r="B53" s="230"/>
      <c r="C53" s="87"/>
      <c r="D53" s="94"/>
      <c r="E53" s="376"/>
      <c r="F53" s="95"/>
      <c r="G53" s="91"/>
      <c r="H53" s="90"/>
      <c r="I53" s="91"/>
      <c r="J53" s="199"/>
      <c r="M53" s="78">
        <f t="shared" si="0"/>
        <v>0</v>
      </c>
      <c r="N53" s="112">
        <v>2</v>
      </c>
      <c r="O53" s="114" t="s">
        <v>109</v>
      </c>
    </row>
    <row r="54" spans="1:15" x14ac:dyDescent="0.25">
      <c r="A54" s="80"/>
      <c r="B54" s="230"/>
      <c r="C54" s="87"/>
      <c r="D54" s="94"/>
      <c r="E54" s="376"/>
      <c r="F54" s="95"/>
      <c r="G54" s="91"/>
      <c r="H54" s="90"/>
      <c r="I54" s="91"/>
      <c r="J54" s="199"/>
      <c r="M54" s="78">
        <f t="shared" si="0"/>
        <v>0</v>
      </c>
      <c r="N54" s="115"/>
      <c r="O54" s="202" t="s">
        <v>5</v>
      </c>
    </row>
    <row r="55" spans="1:15" x14ac:dyDescent="0.25">
      <c r="A55" s="80"/>
      <c r="B55" s="230"/>
      <c r="C55" s="87"/>
      <c r="D55" s="94"/>
      <c r="E55" s="376"/>
      <c r="F55" s="95"/>
      <c r="G55" s="91"/>
      <c r="H55" s="90"/>
      <c r="I55" s="91"/>
      <c r="J55" s="199"/>
      <c r="M55" s="78">
        <f t="shared" si="0"/>
        <v>0</v>
      </c>
      <c r="N55" s="115">
        <v>1</v>
      </c>
      <c r="O55" s="102" t="s">
        <v>8</v>
      </c>
    </row>
    <row r="56" spans="1:15" x14ac:dyDescent="0.25">
      <c r="A56" s="80"/>
      <c r="B56" s="230"/>
      <c r="C56" s="87"/>
      <c r="D56" s="94"/>
      <c r="E56" s="376"/>
      <c r="F56" s="95"/>
      <c r="G56" s="91"/>
      <c r="H56" s="90"/>
      <c r="I56" s="91"/>
      <c r="J56" s="199"/>
      <c r="M56" s="78">
        <f t="shared" si="0"/>
        <v>0</v>
      </c>
      <c r="N56" s="115">
        <v>2</v>
      </c>
      <c r="O56" s="102" t="s">
        <v>281</v>
      </c>
    </row>
    <row r="57" spans="1:15" x14ac:dyDescent="0.25">
      <c r="A57" s="80"/>
      <c r="B57" s="230"/>
      <c r="C57" s="87"/>
      <c r="D57" s="94"/>
      <c r="E57" s="376"/>
      <c r="F57" s="95"/>
      <c r="G57" s="91"/>
      <c r="H57" s="90"/>
      <c r="I57" s="91"/>
      <c r="J57" s="199"/>
      <c r="M57" s="78">
        <f t="shared" si="0"/>
        <v>0</v>
      </c>
      <c r="N57" s="115">
        <v>3</v>
      </c>
      <c r="O57" s="102" t="s">
        <v>45</v>
      </c>
    </row>
    <row r="58" spans="1:15" x14ac:dyDescent="0.25">
      <c r="A58" s="80"/>
      <c r="B58" s="230"/>
      <c r="C58" s="87"/>
      <c r="D58" s="94"/>
      <c r="E58" s="376"/>
      <c r="F58" s="95"/>
      <c r="G58" s="91"/>
      <c r="H58" s="90"/>
      <c r="I58" s="91"/>
      <c r="J58" s="199"/>
      <c r="M58" s="78">
        <f t="shared" si="0"/>
        <v>0</v>
      </c>
      <c r="N58" s="115">
        <v>4</v>
      </c>
      <c r="O58" s="102" t="s">
        <v>78</v>
      </c>
    </row>
    <row r="59" spans="1:15" x14ac:dyDescent="0.25">
      <c r="A59" s="80"/>
      <c r="B59" s="230"/>
      <c r="C59" s="87"/>
      <c r="D59" s="94"/>
      <c r="E59" s="376"/>
      <c r="F59" s="95"/>
      <c r="G59" s="91"/>
      <c r="H59" s="90"/>
      <c r="I59" s="91"/>
      <c r="J59" s="199"/>
      <c r="M59" s="78">
        <f t="shared" si="0"/>
        <v>0</v>
      </c>
      <c r="N59" s="115">
        <v>5</v>
      </c>
      <c r="O59" s="73" t="s">
        <v>139</v>
      </c>
    </row>
    <row r="60" spans="1:15" x14ac:dyDescent="0.25">
      <c r="A60" s="80"/>
      <c r="B60" s="230"/>
      <c r="C60" s="87"/>
      <c r="D60" s="94"/>
      <c r="E60" s="376"/>
      <c r="F60" s="95"/>
      <c r="G60" s="91"/>
      <c r="H60" s="90"/>
      <c r="I60" s="91"/>
      <c r="J60" s="199"/>
      <c r="M60" s="78">
        <f t="shared" si="0"/>
        <v>0</v>
      </c>
    </row>
    <row r="61" spans="1:15" x14ac:dyDescent="0.25">
      <c r="A61" s="80"/>
      <c r="B61" s="230"/>
      <c r="C61" s="87"/>
      <c r="D61" s="94"/>
      <c r="E61" s="376"/>
      <c r="F61" s="95"/>
      <c r="G61" s="91"/>
      <c r="H61" s="90"/>
      <c r="I61" s="91"/>
      <c r="J61" s="199"/>
      <c r="M61" s="78">
        <f t="shared" si="0"/>
        <v>0</v>
      </c>
    </row>
    <row r="62" spans="1:15" x14ac:dyDescent="0.25">
      <c r="A62" s="80"/>
      <c r="B62" s="230"/>
      <c r="C62" s="87"/>
      <c r="D62" s="94"/>
      <c r="E62" s="376"/>
      <c r="F62" s="95"/>
      <c r="G62" s="91"/>
      <c r="H62" s="90"/>
      <c r="I62" s="91"/>
      <c r="J62" s="199"/>
      <c r="M62" s="78">
        <f t="shared" si="0"/>
        <v>0</v>
      </c>
    </row>
    <row r="63" spans="1:15" x14ac:dyDescent="0.25">
      <c r="A63" s="80"/>
      <c r="B63" s="230"/>
      <c r="C63" s="87"/>
      <c r="D63" s="94"/>
      <c r="E63" s="376"/>
      <c r="F63" s="95"/>
      <c r="G63" s="91"/>
      <c r="H63" s="90"/>
      <c r="I63" s="91"/>
      <c r="J63" s="199"/>
      <c r="M63" s="78">
        <f t="shared" si="0"/>
        <v>0</v>
      </c>
    </row>
    <row r="64" spans="1:15" x14ac:dyDescent="0.25">
      <c r="A64" s="80"/>
      <c r="B64" s="230"/>
      <c r="C64" s="87"/>
      <c r="D64" s="94"/>
      <c r="E64" s="376"/>
      <c r="F64" s="95"/>
      <c r="G64" s="91"/>
      <c r="H64" s="90"/>
      <c r="I64" s="91"/>
      <c r="J64" s="199"/>
      <c r="M64" s="78">
        <f t="shared" si="0"/>
        <v>0</v>
      </c>
    </row>
    <row r="65" spans="1:13" x14ac:dyDescent="0.25">
      <c r="A65" s="80"/>
      <c r="B65" s="230"/>
      <c r="C65" s="87"/>
      <c r="D65" s="94"/>
      <c r="E65" s="376"/>
      <c r="F65" s="95"/>
      <c r="G65" s="91"/>
      <c r="H65" s="90"/>
      <c r="I65" s="91"/>
      <c r="J65" s="199"/>
      <c r="M65" s="78">
        <f t="shared" si="0"/>
        <v>0</v>
      </c>
    </row>
    <row r="66" spans="1:13" x14ac:dyDescent="0.25">
      <c r="A66" s="80"/>
      <c r="B66" s="230"/>
      <c r="C66" s="87"/>
      <c r="D66" s="94"/>
      <c r="E66" s="376"/>
      <c r="F66" s="95"/>
      <c r="G66" s="91"/>
      <c r="H66" s="90"/>
      <c r="I66" s="91"/>
      <c r="J66" s="199"/>
      <c r="M66" s="78">
        <f t="shared" si="0"/>
        <v>0</v>
      </c>
    </row>
    <row r="67" spans="1:13" x14ac:dyDescent="0.25">
      <c r="A67" s="80"/>
      <c r="B67" s="230"/>
      <c r="C67" s="87"/>
      <c r="D67" s="94"/>
      <c r="E67" s="376"/>
      <c r="F67" s="95"/>
      <c r="G67" s="91"/>
      <c r="H67" s="90"/>
      <c r="I67" s="91"/>
      <c r="J67" s="199"/>
      <c r="M67" s="78">
        <f t="shared" si="0"/>
        <v>0</v>
      </c>
    </row>
    <row r="68" spans="1:13" x14ac:dyDescent="0.25">
      <c r="A68" s="80"/>
      <c r="B68" s="230"/>
      <c r="C68" s="87"/>
      <c r="D68" s="94"/>
      <c r="E68" s="376"/>
      <c r="F68" s="95"/>
      <c r="G68" s="91"/>
      <c r="H68" s="90"/>
      <c r="I68" s="91"/>
      <c r="J68" s="199"/>
      <c r="M68" s="78">
        <f t="shared" si="0"/>
        <v>0</v>
      </c>
    </row>
    <row r="69" spans="1:13" x14ac:dyDescent="0.25">
      <c r="A69" s="80"/>
      <c r="B69" s="230"/>
      <c r="C69" s="87"/>
      <c r="D69" s="94"/>
      <c r="E69" s="376"/>
      <c r="F69" s="95"/>
      <c r="G69" s="91"/>
      <c r="H69" s="90"/>
      <c r="I69" s="91"/>
      <c r="J69" s="199"/>
      <c r="M69" s="78">
        <f t="shared" si="0"/>
        <v>0</v>
      </c>
    </row>
    <row r="70" spans="1:13" x14ac:dyDescent="0.25">
      <c r="A70" s="80"/>
      <c r="B70" s="230"/>
      <c r="C70" s="87"/>
      <c r="D70" s="94"/>
      <c r="E70" s="376"/>
      <c r="F70" s="95"/>
      <c r="G70" s="91"/>
      <c r="H70" s="90"/>
      <c r="I70" s="91"/>
      <c r="J70" s="199"/>
      <c r="M70" s="78">
        <f t="shared" si="0"/>
        <v>0</v>
      </c>
    </row>
    <row r="71" spans="1:13" x14ac:dyDescent="0.25">
      <c r="A71" s="80"/>
      <c r="B71" s="230"/>
      <c r="C71" s="87"/>
      <c r="D71" s="94"/>
      <c r="E71" s="376"/>
      <c r="F71" s="95"/>
      <c r="G71" s="91"/>
      <c r="H71" s="90"/>
      <c r="I71" s="91"/>
      <c r="J71" s="199"/>
      <c r="M71" s="78">
        <f t="shared" si="0"/>
        <v>0</v>
      </c>
    </row>
    <row r="72" spans="1:13" x14ac:dyDescent="0.25">
      <c r="A72" s="80"/>
      <c r="B72" s="230"/>
      <c r="C72" s="87"/>
      <c r="D72" s="94"/>
      <c r="E72" s="376"/>
      <c r="F72" s="95"/>
      <c r="G72" s="91"/>
      <c r="H72" s="90"/>
      <c r="I72" s="91"/>
      <c r="J72" s="199"/>
      <c r="M72" s="78">
        <f t="shared" ref="M72:M135" si="2">SUM(H72:I72)-J72</f>
        <v>0</v>
      </c>
    </row>
    <row r="73" spans="1:13" x14ac:dyDescent="0.25">
      <c r="A73" s="80"/>
      <c r="B73" s="230"/>
      <c r="C73" s="87"/>
      <c r="D73" s="94"/>
      <c r="E73" s="376"/>
      <c r="F73" s="95"/>
      <c r="G73" s="91"/>
      <c r="H73" s="90"/>
      <c r="I73" s="91"/>
      <c r="J73" s="199"/>
      <c r="M73" s="78">
        <f t="shared" si="2"/>
        <v>0</v>
      </c>
    </row>
    <row r="74" spans="1:13" x14ac:dyDescent="0.25">
      <c r="A74" s="80"/>
      <c r="B74" s="230"/>
      <c r="C74" s="87"/>
      <c r="D74" s="94"/>
      <c r="E74" s="376"/>
      <c r="F74" s="95"/>
      <c r="G74" s="91"/>
      <c r="H74" s="90"/>
      <c r="I74" s="91"/>
      <c r="J74" s="199"/>
      <c r="M74" s="78">
        <f t="shared" si="2"/>
        <v>0</v>
      </c>
    </row>
    <row r="75" spans="1:13" x14ac:dyDescent="0.25">
      <c r="A75" s="80"/>
      <c r="B75" s="230"/>
      <c r="C75" s="87"/>
      <c r="D75" s="94"/>
      <c r="E75" s="376"/>
      <c r="F75" s="95"/>
      <c r="G75" s="91"/>
      <c r="H75" s="90"/>
      <c r="I75" s="91"/>
      <c r="J75" s="199"/>
      <c r="M75" s="78">
        <f t="shared" si="2"/>
        <v>0</v>
      </c>
    </row>
    <row r="76" spans="1:13" x14ac:dyDescent="0.25">
      <c r="A76" s="80"/>
      <c r="B76" s="229"/>
      <c r="C76" s="87"/>
      <c r="D76" s="94"/>
      <c r="E76" s="376"/>
      <c r="F76" s="95"/>
      <c r="H76" s="90"/>
      <c r="I76" s="91"/>
      <c r="J76" s="199"/>
      <c r="M76" s="78">
        <f t="shared" si="2"/>
        <v>0</v>
      </c>
    </row>
    <row r="77" spans="1:13" x14ac:dyDescent="0.25">
      <c r="A77" s="80"/>
      <c r="B77" s="230"/>
      <c r="C77" s="87"/>
      <c r="D77" s="94"/>
      <c r="E77" s="376"/>
      <c r="F77" s="95"/>
      <c r="G77" s="91"/>
      <c r="H77" s="90"/>
      <c r="I77" s="91"/>
      <c r="J77" s="199"/>
      <c r="M77" s="78">
        <f t="shared" si="2"/>
        <v>0</v>
      </c>
    </row>
    <row r="78" spans="1:13" x14ac:dyDescent="0.25">
      <c r="A78" s="80"/>
      <c r="B78" s="230"/>
      <c r="C78" s="87"/>
      <c r="D78" s="94"/>
      <c r="E78" s="376"/>
      <c r="F78" s="95"/>
      <c r="G78" s="91"/>
      <c r="H78" s="90"/>
      <c r="I78" s="91"/>
      <c r="J78" s="199"/>
      <c r="M78" s="78">
        <f t="shared" si="2"/>
        <v>0</v>
      </c>
    </row>
    <row r="79" spans="1:13" x14ac:dyDescent="0.25">
      <c r="A79" s="80"/>
      <c r="B79" s="230"/>
      <c r="C79" s="87"/>
      <c r="D79" s="94"/>
      <c r="E79" s="376"/>
      <c r="F79" s="95"/>
      <c r="G79" s="91"/>
      <c r="H79" s="90"/>
      <c r="I79" s="91"/>
      <c r="J79" s="199"/>
      <c r="M79" s="78">
        <f t="shared" si="2"/>
        <v>0</v>
      </c>
    </row>
    <row r="80" spans="1:13" x14ac:dyDescent="0.25">
      <c r="A80" s="80"/>
      <c r="B80" s="230"/>
      <c r="C80" s="87"/>
      <c r="D80" s="94"/>
      <c r="E80" s="376"/>
      <c r="F80" s="95"/>
      <c r="G80" s="91"/>
      <c r="H80" s="90"/>
      <c r="I80" s="91"/>
      <c r="J80" s="199"/>
      <c r="M80" s="78">
        <f t="shared" si="2"/>
        <v>0</v>
      </c>
    </row>
    <row r="81" spans="1:13" x14ac:dyDescent="0.25">
      <c r="A81" s="80"/>
      <c r="B81" s="230"/>
      <c r="C81" s="87"/>
      <c r="D81" s="94"/>
      <c r="E81" s="376"/>
      <c r="F81" s="95"/>
      <c r="G81" s="91"/>
      <c r="H81" s="90"/>
      <c r="I81" s="91"/>
      <c r="J81" s="199"/>
      <c r="M81" s="78">
        <f t="shared" si="2"/>
        <v>0</v>
      </c>
    </row>
    <row r="82" spans="1:13" x14ac:dyDescent="0.25">
      <c r="A82" s="80"/>
      <c r="B82" s="230"/>
      <c r="C82" s="87"/>
      <c r="D82" s="94"/>
      <c r="E82" s="376"/>
      <c r="F82" s="95"/>
      <c r="G82" s="91"/>
      <c r="H82" s="90"/>
      <c r="I82" s="91"/>
      <c r="J82" s="199"/>
      <c r="M82" s="78">
        <f t="shared" si="2"/>
        <v>0</v>
      </c>
    </row>
    <row r="83" spans="1:13" x14ac:dyDescent="0.25">
      <c r="A83" s="80"/>
      <c r="B83" s="230"/>
      <c r="C83" s="87"/>
      <c r="D83" s="94"/>
      <c r="E83" s="376"/>
      <c r="F83" s="95"/>
      <c r="G83" s="91"/>
      <c r="H83" s="90"/>
      <c r="I83" s="91"/>
      <c r="J83" s="199"/>
      <c r="M83" s="78">
        <f t="shared" si="2"/>
        <v>0</v>
      </c>
    </row>
    <row r="84" spans="1:13" x14ac:dyDescent="0.25">
      <c r="A84" s="80"/>
      <c r="B84" s="230"/>
      <c r="C84" s="87"/>
      <c r="D84" s="94"/>
      <c r="E84" s="376"/>
      <c r="F84" s="95"/>
      <c r="G84" s="91"/>
      <c r="H84" s="90"/>
      <c r="I84" s="91"/>
      <c r="J84" s="199"/>
      <c r="M84" s="78">
        <f t="shared" si="2"/>
        <v>0</v>
      </c>
    </row>
    <row r="85" spans="1:13" x14ac:dyDescent="0.25">
      <c r="A85" s="80"/>
      <c r="B85" s="230"/>
      <c r="C85" s="87"/>
      <c r="D85" s="94"/>
      <c r="E85" s="376"/>
      <c r="F85" s="95"/>
      <c r="G85" s="91"/>
      <c r="H85" s="90"/>
      <c r="I85" s="91"/>
      <c r="J85" s="199"/>
      <c r="M85" s="78">
        <f t="shared" si="2"/>
        <v>0</v>
      </c>
    </row>
    <row r="86" spans="1:13" x14ac:dyDescent="0.25">
      <c r="A86" s="80"/>
      <c r="B86" s="230"/>
      <c r="C86" s="87"/>
      <c r="D86" s="94"/>
      <c r="E86" s="376"/>
      <c r="F86" s="95"/>
      <c r="G86" s="91"/>
      <c r="H86" s="90"/>
      <c r="I86" s="91"/>
      <c r="J86" s="199"/>
      <c r="M86" s="78">
        <f t="shared" si="2"/>
        <v>0</v>
      </c>
    </row>
    <row r="87" spans="1:13" x14ac:dyDescent="0.25">
      <c r="A87" s="80"/>
      <c r="B87" s="230"/>
      <c r="C87" s="87"/>
      <c r="D87" s="94"/>
      <c r="E87" s="376"/>
      <c r="F87" s="95"/>
      <c r="G87" s="91"/>
      <c r="H87" s="90"/>
      <c r="I87" s="91"/>
      <c r="J87" s="199"/>
      <c r="M87" s="78">
        <f t="shared" si="2"/>
        <v>0</v>
      </c>
    </row>
    <row r="88" spans="1:13" x14ac:dyDescent="0.25">
      <c r="A88" s="80"/>
      <c r="B88" s="230"/>
      <c r="C88" s="87"/>
      <c r="D88" s="94"/>
      <c r="E88" s="376"/>
      <c r="F88" s="95"/>
      <c r="G88" s="91"/>
      <c r="H88" s="90"/>
      <c r="I88" s="91"/>
      <c r="J88" s="199"/>
      <c r="M88" s="78">
        <f t="shared" si="2"/>
        <v>0</v>
      </c>
    </row>
    <row r="89" spans="1:13" x14ac:dyDescent="0.25">
      <c r="A89" s="80"/>
      <c r="B89" s="230"/>
      <c r="F89" s="95"/>
      <c r="G89" s="91"/>
      <c r="H89" s="90"/>
      <c r="I89" s="91"/>
      <c r="J89" s="199"/>
      <c r="M89" s="78">
        <f t="shared" si="2"/>
        <v>0</v>
      </c>
    </row>
    <row r="90" spans="1:13" x14ac:dyDescent="0.25">
      <c r="A90" s="80"/>
      <c r="B90" s="230"/>
      <c r="C90" s="87"/>
      <c r="D90" s="94"/>
      <c r="E90" s="376"/>
      <c r="F90" s="95"/>
      <c r="G90" s="91"/>
      <c r="H90" s="90"/>
      <c r="I90" s="91"/>
      <c r="J90" s="199"/>
      <c r="M90" s="78">
        <f t="shared" si="2"/>
        <v>0</v>
      </c>
    </row>
    <row r="91" spans="1:13" x14ac:dyDescent="0.25">
      <c r="A91" s="80"/>
      <c r="B91" s="230"/>
      <c r="C91" s="87"/>
      <c r="D91" s="94"/>
      <c r="E91" s="376"/>
      <c r="F91" s="95"/>
      <c r="G91" s="91"/>
      <c r="H91" s="90"/>
      <c r="I91" s="91"/>
      <c r="J91" s="199"/>
      <c r="M91" s="78">
        <f t="shared" si="2"/>
        <v>0</v>
      </c>
    </row>
    <row r="92" spans="1:13" x14ac:dyDescent="0.25">
      <c r="A92" s="80"/>
      <c r="B92" s="230"/>
      <c r="C92" s="87"/>
      <c r="D92" s="94"/>
      <c r="E92" s="376"/>
      <c r="F92" s="95"/>
      <c r="G92" s="91"/>
      <c r="H92" s="90"/>
      <c r="I92" s="91"/>
      <c r="J92" s="199"/>
      <c r="M92" s="78">
        <f t="shared" si="2"/>
        <v>0</v>
      </c>
    </row>
    <row r="93" spans="1:13" x14ac:dyDescent="0.25">
      <c r="A93" s="80"/>
      <c r="B93" s="230"/>
      <c r="C93" s="87"/>
      <c r="D93" s="94"/>
      <c r="E93" s="376"/>
      <c r="F93" s="95"/>
      <c r="G93" s="91"/>
      <c r="H93" s="90"/>
      <c r="I93" s="91"/>
      <c r="J93" s="199"/>
      <c r="M93" s="78">
        <f t="shared" si="2"/>
        <v>0</v>
      </c>
    </row>
    <row r="94" spans="1:13" x14ac:dyDescent="0.25">
      <c r="A94" s="80"/>
      <c r="B94" s="230"/>
      <c r="C94" s="87"/>
      <c r="D94" s="94"/>
      <c r="E94" s="376"/>
      <c r="F94" s="95"/>
      <c r="G94" s="91"/>
      <c r="H94" s="90"/>
      <c r="I94" s="91"/>
      <c r="J94" s="199"/>
      <c r="M94" s="78">
        <f t="shared" si="2"/>
        <v>0</v>
      </c>
    </row>
    <row r="95" spans="1:13" x14ac:dyDescent="0.25">
      <c r="A95" s="80"/>
      <c r="B95" s="230"/>
      <c r="C95" s="87"/>
      <c r="F95" s="95"/>
      <c r="G95" s="91"/>
      <c r="H95" s="90"/>
      <c r="I95" s="91"/>
      <c r="J95" s="199"/>
      <c r="M95" s="78">
        <f t="shared" si="2"/>
        <v>0</v>
      </c>
    </row>
    <row r="96" spans="1:13" x14ac:dyDescent="0.25">
      <c r="A96" s="80"/>
      <c r="B96" s="230"/>
      <c r="C96" s="87"/>
      <c r="D96" s="94"/>
      <c r="E96" s="376"/>
      <c r="F96" s="95"/>
      <c r="G96" s="91"/>
      <c r="H96" s="90"/>
      <c r="I96" s="91"/>
      <c r="J96" s="199"/>
      <c r="M96" s="78">
        <f t="shared" si="2"/>
        <v>0</v>
      </c>
    </row>
    <row r="97" spans="1:13" x14ac:dyDescent="0.25">
      <c r="A97" s="80"/>
      <c r="B97" s="230"/>
      <c r="C97" s="87"/>
      <c r="D97" s="94"/>
      <c r="E97" s="376"/>
      <c r="F97" s="95"/>
      <c r="G97" s="91"/>
      <c r="H97" s="90"/>
      <c r="I97" s="91"/>
      <c r="J97" s="199"/>
      <c r="M97" s="78">
        <f t="shared" si="2"/>
        <v>0</v>
      </c>
    </row>
    <row r="98" spans="1:13" x14ac:dyDescent="0.25">
      <c r="A98" s="80"/>
      <c r="B98" s="230"/>
      <c r="C98" s="87"/>
      <c r="D98" s="94"/>
      <c r="E98" s="376"/>
      <c r="F98" s="95"/>
      <c r="G98" s="91"/>
      <c r="H98" s="90"/>
      <c r="I98" s="91"/>
      <c r="J98" s="199"/>
      <c r="M98" s="78">
        <f t="shared" si="2"/>
        <v>0</v>
      </c>
    </row>
    <row r="99" spans="1:13" x14ac:dyDescent="0.25">
      <c r="A99" s="80"/>
      <c r="B99" s="230"/>
      <c r="C99" s="87"/>
      <c r="D99" s="94"/>
      <c r="E99" s="376"/>
      <c r="F99" s="95"/>
      <c r="G99" s="91"/>
      <c r="H99" s="90"/>
      <c r="I99" s="91"/>
      <c r="J99" s="199"/>
      <c r="M99" s="78">
        <f t="shared" si="2"/>
        <v>0</v>
      </c>
    </row>
    <row r="100" spans="1:13" x14ac:dyDescent="0.25">
      <c r="A100" s="80"/>
      <c r="B100" s="230"/>
      <c r="C100" s="87"/>
      <c r="D100" s="94"/>
      <c r="E100" s="376"/>
      <c r="F100" s="95"/>
      <c r="G100" s="91"/>
      <c r="H100" s="90"/>
      <c r="I100" s="91"/>
      <c r="J100" s="199"/>
      <c r="M100" s="78">
        <f t="shared" si="2"/>
        <v>0</v>
      </c>
    </row>
    <row r="101" spans="1:13" x14ac:dyDescent="0.25">
      <c r="A101" s="80"/>
      <c r="B101" s="230"/>
      <c r="C101" s="87"/>
      <c r="D101" s="94"/>
      <c r="E101" s="376"/>
      <c r="F101" s="95"/>
      <c r="G101" s="91"/>
      <c r="H101" s="90"/>
      <c r="I101" s="91"/>
      <c r="J101" s="199"/>
      <c r="M101" s="78">
        <f t="shared" si="2"/>
        <v>0</v>
      </c>
    </row>
    <row r="102" spans="1:13" x14ac:dyDescent="0.25">
      <c r="A102" s="80"/>
      <c r="B102" s="230"/>
      <c r="C102" s="87"/>
      <c r="D102" s="94"/>
      <c r="E102" s="376"/>
      <c r="F102" s="95"/>
      <c r="G102" s="91"/>
      <c r="H102" s="90"/>
      <c r="I102" s="91"/>
      <c r="J102" s="199"/>
      <c r="M102" s="78">
        <f t="shared" si="2"/>
        <v>0</v>
      </c>
    </row>
    <row r="103" spans="1:13" x14ac:dyDescent="0.25">
      <c r="A103" s="80"/>
      <c r="B103" s="230"/>
      <c r="C103" s="87"/>
      <c r="D103" s="94"/>
      <c r="E103" s="376"/>
      <c r="F103" s="95"/>
      <c r="G103" s="91"/>
      <c r="H103" s="90"/>
      <c r="I103" s="91"/>
      <c r="J103" s="199"/>
      <c r="M103" s="78">
        <f t="shared" si="2"/>
        <v>0</v>
      </c>
    </row>
    <row r="104" spans="1:13" x14ac:dyDescent="0.25">
      <c r="A104" s="80"/>
      <c r="B104" s="230"/>
      <c r="C104" s="87"/>
      <c r="D104" s="94"/>
      <c r="E104" s="376"/>
      <c r="F104" s="95"/>
      <c r="G104" s="91"/>
      <c r="H104" s="90"/>
      <c r="I104" s="91"/>
      <c r="J104" s="199"/>
      <c r="M104" s="78">
        <f t="shared" si="2"/>
        <v>0</v>
      </c>
    </row>
    <row r="105" spans="1:13" x14ac:dyDescent="0.25">
      <c r="A105" s="80"/>
      <c r="B105" s="230"/>
      <c r="C105" s="87"/>
      <c r="D105" s="94"/>
      <c r="E105" s="376"/>
      <c r="F105" s="95"/>
      <c r="G105" s="91"/>
      <c r="H105" s="90"/>
      <c r="I105" s="91"/>
      <c r="J105" s="199"/>
      <c r="M105" s="78">
        <f t="shared" si="2"/>
        <v>0</v>
      </c>
    </row>
    <row r="106" spans="1:13" x14ac:dyDescent="0.25">
      <c r="A106" s="80"/>
      <c r="B106" s="230"/>
      <c r="C106" s="87"/>
      <c r="D106" s="94"/>
      <c r="E106" s="376"/>
      <c r="F106" s="95"/>
      <c r="G106" s="91"/>
      <c r="H106" s="90"/>
      <c r="I106" s="91"/>
      <c r="J106" s="199"/>
      <c r="M106" s="78">
        <f t="shared" si="2"/>
        <v>0</v>
      </c>
    </row>
    <row r="107" spans="1:13" x14ac:dyDescent="0.25">
      <c r="A107" s="80"/>
      <c r="B107" s="230"/>
      <c r="C107" s="87"/>
      <c r="D107" s="94"/>
      <c r="E107" s="376"/>
      <c r="F107" s="95"/>
      <c r="G107" s="91"/>
      <c r="H107" s="90"/>
      <c r="I107" s="91"/>
      <c r="J107" s="199"/>
      <c r="M107" s="78">
        <f t="shared" si="2"/>
        <v>0</v>
      </c>
    </row>
    <row r="108" spans="1:13" x14ac:dyDescent="0.25">
      <c r="A108" s="80"/>
      <c r="B108" s="230"/>
      <c r="C108" s="87"/>
      <c r="D108" s="94"/>
      <c r="E108" s="376"/>
      <c r="F108" s="95"/>
      <c r="G108" s="91"/>
      <c r="H108" s="90"/>
      <c r="I108" s="91"/>
      <c r="J108" s="199"/>
      <c r="M108" s="78">
        <f t="shared" si="2"/>
        <v>0</v>
      </c>
    </row>
    <row r="109" spans="1:13" x14ac:dyDescent="0.25">
      <c r="A109" s="80"/>
      <c r="B109" s="230"/>
      <c r="C109" s="87"/>
      <c r="D109" s="94"/>
      <c r="E109" s="376"/>
      <c r="F109" s="95"/>
      <c r="G109" s="91"/>
      <c r="H109" s="90"/>
      <c r="I109" s="91"/>
      <c r="J109" s="199"/>
      <c r="M109" s="78">
        <f t="shared" si="2"/>
        <v>0</v>
      </c>
    </row>
    <row r="110" spans="1:13" x14ac:dyDescent="0.25">
      <c r="A110" s="80"/>
      <c r="B110" s="230"/>
      <c r="C110" s="87"/>
      <c r="D110" s="94"/>
      <c r="E110" s="376"/>
      <c r="F110" s="95"/>
      <c r="G110" s="91"/>
      <c r="H110" s="90"/>
      <c r="I110" s="91"/>
      <c r="J110" s="199"/>
      <c r="M110" s="78">
        <f t="shared" si="2"/>
        <v>0</v>
      </c>
    </row>
    <row r="111" spans="1:13" x14ac:dyDescent="0.25">
      <c r="A111" s="80"/>
      <c r="B111" s="230"/>
      <c r="C111" s="87"/>
      <c r="D111" s="94"/>
      <c r="E111" s="376"/>
      <c r="F111" s="95"/>
      <c r="G111" s="91"/>
      <c r="H111" s="90"/>
      <c r="I111" s="91"/>
      <c r="J111" s="199"/>
      <c r="M111" s="78">
        <f t="shared" si="2"/>
        <v>0</v>
      </c>
    </row>
    <row r="112" spans="1:13" x14ac:dyDescent="0.25">
      <c r="A112" s="80"/>
      <c r="B112" s="230"/>
      <c r="C112" s="87"/>
      <c r="D112" s="94"/>
      <c r="E112" s="376"/>
      <c r="F112" s="95"/>
      <c r="G112" s="91"/>
      <c r="H112" s="90"/>
      <c r="I112" s="91"/>
      <c r="J112" s="199"/>
      <c r="M112" s="78">
        <f t="shared" si="2"/>
        <v>0</v>
      </c>
    </row>
    <row r="113" spans="1:13" x14ac:dyDescent="0.25">
      <c r="A113" s="80"/>
      <c r="B113" s="230"/>
      <c r="C113" s="87"/>
      <c r="D113" s="94"/>
      <c r="E113" s="376"/>
      <c r="F113" s="95"/>
      <c r="G113" s="91"/>
      <c r="H113" s="90"/>
      <c r="I113" s="91"/>
      <c r="J113" s="199"/>
      <c r="M113" s="78">
        <f t="shared" si="2"/>
        <v>0</v>
      </c>
    </row>
    <row r="114" spans="1:13" x14ac:dyDescent="0.25">
      <c r="A114" s="80"/>
      <c r="B114" s="230"/>
      <c r="C114" s="87"/>
      <c r="D114" s="94"/>
      <c r="E114" s="376"/>
      <c r="F114" s="95"/>
      <c r="G114" s="91"/>
      <c r="H114" s="90"/>
      <c r="I114" s="91"/>
      <c r="J114" s="199"/>
      <c r="M114" s="78">
        <f t="shared" si="2"/>
        <v>0</v>
      </c>
    </row>
    <row r="115" spans="1:13" x14ac:dyDescent="0.25">
      <c r="A115" s="80"/>
      <c r="B115" s="230"/>
      <c r="C115" s="87"/>
      <c r="D115" s="94"/>
      <c r="E115" s="376"/>
      <c r="F115" s="95"/>
      <c r="G115" s="91"/>
      <c r="H115" s="90"/>
      <c r="I115" s="91"/>
      <c r="J115" s="199"/>
      <c r="M115" s="78">
        <f t="shared" si="2"/>
        <v>0</v>
      </c>
    </row>
    <row r="116" spans="1:13" x14ac:dyDescent="0.25">
      <c r="A116" s="80"/>
      <c r="B116" s="230"/>
      <c r="C116" s="87"/>
      <c r="D116" s="94"/>
      <c r="E116" s="376"/>
      <c r="F116" s="95"/>
      <c r="G116" s="91"/>
      <c r="H116" s="90"/>
      <c r="I116" s="91"/>
      <c r="J116" s="199"/>
      <c r="M116" s="78">
        <f t="shared" si="2"/>
        <v>0</v>
      </c>
    </row>
    <row r="117" spans="1:13" x14ac:dyDescent="0.25">
      <c r="A117" s="80"/>
      <c r="B117" s="230"/>
      <c r="C117" s="87"/>
      <c r="D117" s="94"/>
      <c r="E117" s="376"/>
      <c r="F117" s="95"/>
      <c r="G117" s="91"/>
      <c r="H117" s="90"/>
      <c r="I117" s="91"/>
      <c r="J117" s="199"/>
      <c r="M117" s="78">
        <f t="shared" si="2"/>
        <v>0</v>
      </c>
    </row>
    <row r="118" spans="1:13" x14ac:dyDescent="0.25">
      <c r="A118" s="80"/>
      <c r="B118" s="230"/>
      <c r="C118" s="87"/>
      <c r="D118" s="94"/>
      <c r="E118" s="376"/>
      <c r="F118" s="95"/>
      <c r="G118" s="91"/>
      <c r="H118" s="90"/>
      <c r="I118" s="91"/>
      <c r="J118" s="199"/>
      <c r="M118" s="78">
        <f t="shared" si="2"/>
        <v>0</v>
      </c>
    </row>
    <row r="119" spans="1:13" x14ac:dyDescent="0.25">
      <c r="A119" s="80"/>
      <c r="B119" s="230"/>
      <c r="C119" s="87"/>
      <c r="D119" s="94"/>
      <c r="E119" s="376"/>
      <c r="F119" s="95"/>
      <c r="G119" s="91"/>
      <c r="H119" s="90"/>
      <c r="I119" s="91"/>
      <c r="J119" s="199"/>
      <c r="M119" s="78">
        <f t="shared" si="2"/>
        <v>0</v>
      </c>
    </row>
    <row r="120" spans="1:13" x14ac:dyDescent="0.25">
      <c r="A120" s="80"/>
      <c r="B120" s="230"/>
      <c r="C120" s="87"/>
      <c r="D120" s="94"/>
      <c r="E120" s="376"/>
      <c r="F120" s="95"/>
      <c r="G120" s="91"/>
      <c r="H120" s="90"/>
      <c r="I120" s="91"/>
      <c r="J120" s="199"/>
      <c r="M120" s="78">
        <f t="shared" si="2"/>
        <v>0</v>
      </c>
    </row>
    <row r="121" spans="1:13" x14ac:dyDescent="0.25">
      <c r="A121" s="80"/>
      <c r="B121" s="230"/>
      <c r="C121" s="87"/>
      <c r="D121" s="94"/>
      <c r="E121" s="376"/>
      <c r="F121" s="95"/>
      <c r="G121" s="91"/>
      <c r="H121" s="90"/>
      <c r="I121" s="91"/>
      <c r="J121" s="199"/>
      <c r="M121" s="78">
        <f t="shared" si="2"/>
        <v>0</v>
      </c>
    </row>
    <row r="122" spans="1:13" x14ac:dyDescent="0.25">
      <c r="A122" s="80"/>
      <c r="B122" s="230"/>
      <c r="C122" s="87"/>
      <c r="D122" s="94"/>
      <c r="E122" s="376"/>
      <c r="F122" s="95"/>
      <c r="G122" s="91"/>
      <c r="H122" s="90"/>
      <c r="I122" s="91"/>
      <c r="J122" s="199"/>
      <c r="M122" s="78">
        <f t="shared" si="2"/>
        <v>0</v>
      </c>
    </row>
    <row r="123" spans="1:13" x14ac:dyDescent="0.25">
      <c r="A123" s="80"/>
      <c r="B123" s="230"/>
      <c r="C123" s="87"/>
      <c r="D123" s="94"/>
      <c r="E123" s="376"/>
      <c r="F123" s="95"/>
      <c r="G123" s="91"/>
      <c r="H123" s="90"/>
      <c r="I123" s="91"/>
      <c r="J123" s="199"/>
      <c r="M123" s="78">
        <f t="shared" si="2"/>
        <v>0</v>
      </c>
    </row>
    <row r="124" spans="1:13" x14ac:dyDescent="0.25">
      <c r="A124" s="80"/>
      <c r="B124" s="230"/>
      <c r="C124" s="87"/>
      <c r="D124" s="94"/>
      <c r="E124" s="376"/>
      <c r="F124" s="95"/>
      <c r="G124" s="91"/>
      <c r="H124" s="90"/>
      <c r="I124" s="91"/>
      <c r="J124" s="199"/>
      <c r="M124" s="78">
        <f t="shared" si="2"/>
        <v>0</v>
      </c>
    </row>
    <row r="125" spans="1:13" x14ac:dyDescent="0.25">
      <c r="A125" s="80"/>
      <c r="B125" s="230"/>
      <c r="C125" s="87"/>
      <c r="D125" s="94"/>
      <c r="E125" s="376"/>
      <c r="F125" s="95"/>
      <c r="G125" s="91"/>
      <c r="H125" s="90"/>
      <c r="I125" s="91"/>
      <c r="J125" s="199"/>
      <c r="M125" s="78">
        <f t="shared" si="2"/>
        <v>0</v>
      </c>
    </row>
    <row r="126" spans="1:13" x14ac:dyDescent="0.25">
      <c r="A126" s="80"/>
      <c r="B126" s="230"/>
      <c r="C126" s="87"/>
      <c r="D126" s="94"/>
      <c r="E126" s="376"/>
      <c r="F126" s="95"/>
      <c r="G126" s="91"/>
      <c r="H126" s="90"/>
      <c r="I126" s="91"/>
      <c r="J126" s="199"/>
      <c r="M126" s="78">
        <f t="shared" si="2"/>
        <v>0</v>
      </c>
    </row>
    <row r="127" spans="1:13" x14ac:dyDescent="0.25">
      <c r="A127" s="80"/>
      <c r="B127" s="230"/>
      <c r="C127" s="87"/>
      <c r="D127" s="94"/>
      <c r="E127" s="376"/>
      <c r="F127" s="95"/>
      <c r="G127" s="91"/>
      <c r="H127" s="90"/>
      <c r="I127" s="91"/>
      <c r="J127" s="199"/>
      <c r="M127" s="78">
        <f t="shared" si="2"/>
        <v>0</v>
      </c>
    </row>
    <row r="128" spans="1:13" x14ac:dyDescent="0.25">
      <c r="A128" s="80"/>
      <c r="B128" s="230"/>
      <c r="C128" s="87"/>
      <c r="D128" s="94"/>
      <c r="E128" s="376"/>
      <c r="F128" s="95"/>
      <c r="G128" s="91"/>
      <c r="H128" s="90"/>
      <c r="I128" s="91"/>
      <c r="J128" s="199"/>
      <c r="M128" s="78">
        <f t="shared" si="2"/>
        <v>0</v>
      </c>
    </row>
    <row r="129" spans="1:13" x14ac:dyDescent="0.25">
      <c r="A129" s="80"/>
      <c r="B129" s="230"/>
      <c r="C129" s="87"/>
      <c r="D129" s="94"/>
      <c r="E129" s="376"/>
      <c r="F129" s="95"/>
      <c r="G129" s="91"/>
      <c r="H129" s="90"/>
      <c r="I129" s="91"/>
      <c r="J129" s="199"/>
      <c r="M129" s="78">
        <f t="shared" si="2"/>
        <v>0</v>
      </c>
    </row>
    <row r="130" spans="1:13" x14ac:dyDescent="0.25">
      <c r="A130" s="80"/>
      <c r="B130" s="230"/>
      <c r="C130" s="87"/>
      <c r="D130" s="94"/>
      <c r="E130" s="376"/>
      <c r="F130" s="95"/>
      <c r="G130" s="91"/>
      <c r="H130" s="90"/>
      <c r="I130" s="91"/>
      <c r="J130" s="199"/>
      <c r="M130" s="78">
        <f t="shared" si="2"/>
        <v>0</v>
      </c>
    </row>
    <row r="131" spans="1:13" x14ac:dyDescent="0.25">
      <c r="A131" s="80"/>
      <c r="B131" s="230"/>
      <c r="C131" s="87"/>
      <c r="D131" s="94"/>
      <c r="E131" s="376"/>
      <c r="F131" s="95"/>
      <c r="G131" s="91"/>
      <c r="H131" s="90"/>
      <c r="I131" s="91"/>
      <c r="J131" s="199"/>
      <c r="M131" s="78">
        <f t="shared" si="2"/>
        <v>0</v>
      </c>
    </row>
    <row r="132" spans="1:13" x14ac:dyDescent="0.25">
      <c r="A132" s="80"/>
      <c r="B132" s="230"/>
      <c r="C132" s="87"/>
      <c r="D132" s="94"/>
      <c r="E132" s="376"/>
      <c r="F132" s="95"/>
      <c r="G132" s="91"/>
      <c r="H132" s="90"/>
      <c r="I132" s="91"/>
      <c r="J132" s="199"/>
      <c r="M132" s="78">
        <f t="shared" si="2"/>
        <v>0</v>
      </c>
    </row>
    <row r="133" spans="1:13" x14ac:dyDescent="0.25">
      <c r="A133" s="80"/>
      <c r="B133" s="230"/>
      <c r="C133" s="87"/>
      <c r="D133" s="94"/>
      <c r="E133" s="376"/>
      <c r="F133" s="95"/>
      <c r="G133" s="91"/>
      <c r="H133" s="90"/>
      <c r="I133" s="91"/>
      <c r="J133" s="199"/>
      <c r="M133" s="78">
        <f t="shared" si="2"/>
        <v>0</v>
      </c>
    </row>
    <row r="134" spans="1:13" x14ac:dyDescent="0.25">
      <c r="A134" s="80"/>
      <c r="B134" s="230"/>
      <c r="C134" s="87"/>
      <c r="D134" s="94"/>
      <c r="E134" s="376"/>
      <c r="F134" s="95"/>
      <c r="G134" s="91"/>
      <c r="H134" s="90"/>
      <c r="I134" s="91"/>
      <c r="J134" s="199"/>
      <c r="M134" s="78">
        <f t="shared" si="2"/>
        <v>0</v>
      </c>
    </row>
    <row r="135" spans="1:13" x14ac:dyDescent="0.25">
      <c r="A135" s="80"/>
      <c r="B135" s="230"/>
      <c r="C135" s="87"/>
      <c r="D135" s="94"/>
      <c r="E135" s="376"/>
      <c r="F135" s="95"/>
      <c r="G135" s="91"/>
      <c r="H135" s="90"/>
      <c r="I135" s="91"/>
      <c r="J135" s="199"/>
      <c r="M135" s="78">
        <f t="shared" si="2"/>
        <v>0</v>
      </c>
    </row>
    <row r="136" spans="1:13" x14ac:dyDescent="0.25">
      <c r="A136" s="80"/>
      <c r="B136" s="230"/>
      <c r="C136" s="87"/>
      <c r="D136" s="94"/>
      <c r="E136" s="376"/>
      <c r="F136" s="95"/>
      <c r="G136" s="91"/>
      <c r="H136" s="90"/>
      <c r="I136" s="91"/>
      <c r="J136" s="199"/>
      <c r="M136" s="78">
        <f t="shared" ref="M136:M146" si="3">SUM(H136:I136)-J136</f>
        <v>0</v>
      </c>
    </row>
    <row r="137" spans="1:13" x14ac:dyDescent="0.25">
      <c r="A137" s="80"/>
      <c r="B137" s="230"/>
      <c r="C137" s="87"/>
      <c r="D137" s="94"/>
      <c r="E137" s="376"/>
      <c r="F137" s="95"/>
      <c r="G137" s="91"/>
      <c r="H137" s="90"/>
      <c r="I137" s="91"/>
      <c r="J137" s="199"/>
      <c r="M137" s="78">
        <f t="shared" si="3"/>
        <v>0</v>
      </c>
    </row>
    <row r="138" spans="1:13" x14ac:dyDescent="0.25">
      <c r="A138" s="80"/>
      <c r="B138" s="230"/>
      <c r="C138" s="87"/>
      <c r="D138" s="94"/>
      <c r="E138" s="376"/>
      <c r="F138" s="95"/>
      <c r="G138" s="91"/>
      <c r="H138" s="90"/>
      <c r="I138" s="91"/>
      <c r="J138" s="199"/>
      <c r="M138" s="78">
        <f t="shared" si="3"/>
        <v>0</v>
      </c>
    </row>
    <row r="139" spans="1:13" x14ac:dyDescent="0.25">
      <c r="A139" s="80"/>
      <c r="B139" s="230"/>
      <c r="C139" s="87"/>
      <c r="D139" s="94"/>
      <c r="E139" s="376"/>
      <c r="F139" s="95"/>
      <c r="G139" s="91"/>
      <c r="H139" s="90"/>
      <c r="I139" s="91"/>
      <c r="J139" s="199"/>
      <c r="M139" s="78">
        <f t="shared" si="3"/>
        <v>0</v>
      </c>
    </row>
    <row r="140" spans="1:13" x14ac:dyDescent="0.25">
      <c r="A140" s="80"/>
      <c r="B140" s="230"/>
      <c r="C140" s="87"/>
      <c r="D140" s="94"/>
      <c r="E140" s="376"/>
      <c r="F140" s="95"/>
      <c r="G140" s="91"/>
      <c r="H140" s="90"/>
      <c r="I140" s="91"/>
      <c r="J140" s="199">
        <f t="shared" ref="J140:J146" si="4">SUM(H140:I140)</f>
        <v>0</v>
      </c>
      <c r="M140" s="78">
        <f t="shared" si="3"/>
        <v>0</v>
      </c>
    </row>
    <row r="141" spans="1:13" x14ac:dyDescent="0.25">
      <c r="A141" s="80"/>
      <c r="B141" s="230"/>
      <c r="C141" s="87"/>
      <c r="D141" s="94"/>
      <c r="E141" s="376"/>
      <c r="F141" s="95"/>
      <c r="G141" s="91"/>
      <c r="H141" s="90"/>
      <c r="I141" s="91"/>
      <c r="J141" s="199">
        <f t="shared" si="4"/>
        <v>0</v>
      </c>
      <c r="M141" s="78">
        <f t="shared" si="3"/>
        <v>0</v>
      </c>
    </row>
    <row r="142" spans="1:13" x14ac:dyDescent="0.25">
      <c r="A142" s="80"/>
      <c r="B142" s="230"/>
      <c r="C142" s="87"/>
      <c r="D142" s="94"/>
      <c r="E142" s="376"/>
      <c r="F142" s="95"/>
      <c r="G142" s="91">
        <v>0</v>
      </c>
      <c r="H142" s="90"/>
      <c r="I142" s="91"/>
      <c r="J142" s="199">
        <f t="shared" si="4"/>
        <v>0</v>
      </c>
      <c r="M142" s="78">
        <f t="shared" si="3"/>
        <v>0</v>
      </c>
    </row>
    <row r="143" spans="1:13" x14ac:dyDescent="0.25">
      <c r="A143" s="80"/>
      <c r="B143" s="230"/>
      <c r="C143" s="87"/>
      <c r="D143" s="94"/>
      <c r="E143" s="376"/>
      <c r="F143" s="95"/>
      <c r="G143" s="91"/>
      <c r="H143" s="90"/>
      <c r="I143" s="116"/>
      <c r="J143" s="199">
        <f t="shared" si="4"/>
        <v>0</v>
      </c>
      <c r="M143" s="78">
        <f t="shared" si="3"/>
        <v>0</v>
      </c>
    </row>
    <row r="144" spans="1:13" x14ac:dyDescent="0.25">
      <c r="A144" s="80"/>
      <c r="B144" s="231"/>
      <c r="C144" s="117"/>
      <c r="D144" s="118" t="s">
        <v>48</v>
      </c>
      <c r="E144" s="377"/>
      <c r="F144" s="119"/>
      <c r="G144" s="185">
        <f>SUM(G6:G143)</f>
        <v>30486.49</v>
      </c>
      <c r="H144" s="193">
        <f>SUM(H7:H143)</f>
        <v>8504.9800000000014</v>
      </c>
      <c r="I144" s="193">
        <f>SUM(I7:I143)</f>
        <v>35.76</v>
      </c>
      <c r="J144" s="199">
        <f t="shared" si="4"/>
        <v>8540.7400000000016</v>
      </c>
      <c r="M144" s="78">
        <f t="shared" si="3"/>
        <v>0</v>
      </c>
    </row>
    <row r="145" spans="1:21" x14ac:dyDescent="0.25">
      <c r="A145" s="80"/>
      <c r="B145" s="179"/>
      <c r="C145" s="120"/>
      <c r="D145" s="121"/>
      <c r="E145" s="378"/>
      <c r="F145" s="122" t="s">
        <v>40</v>
      </c>
      <c r="G145" s="186"/>
      <c r="H145" s="194"/>
      <c r="I145" s="123"/>
      <c r="J145" s="199">
        <f t="shared" si="4"/>
        <v>0</v>
      </c>
      <c r="M145" s="78">
        <f t="shared" si="3"/>
        <v>0</v>
      </c>
    </row>
    <row r="146" spans="1:21" x14ac:dyDescent="0.25">
      <c r="A146" s="80"/>
      <c r="B146" s="181" t="s">
        <v>41</v>
      </c>
      <c r="C146" s="124"/>
      <c r="D146" s="124" t="s">
        <v>42</v>
      </c>
      <c r="E146" s="379"/>
      <c r="F146" s="125" t="s">
        <v>43</v>
      </c>
      <c r="G146" s="187" t="s">
        <v>174</v>
      </c>
      <c r="H146" s="195" t="s">
        <v>4</v>
      </c>
      <c r="I146" s="126" t="s">
        <v>47</v>
      </c>
      <c r="J146" s="199">
        <f t="shared" si="4"/>
        <v>0</v>
      </c>
      <c r="M146" s="78">
        <f t="shared" si="3"/>
        <v>0</v>
      </c>
    </row>
    <row r="147" spans="1:21" x14ac:dyDescent="0.25">
      <c r="B147" s="180"/>
      <c r="C147" s="127"/>
      <c r="D147" s="128"/>
      <c r="E147" s="129"/>
      <c r="F147" s="129"/>
      <c r="G147" s="130"/>
      <c r="H147" s="130"/>
      <c r="I147" s="131"/>
      <c r="J147" s="131"/>
    </row>
    <row r="148" spans="1:21" x14ac:dyDescent="0.25">
      <c r="B148" s="180"/>
      <c r="C148" s="127"/>
      <c r="D148" s="132" t="s">
        <v>343</v>
      </c>
      <c r="E148" s="133"/>
      <c r="F148" s="133"/>
      <c r="G148" s="232"/>
      <c r="H148" s="196"/>
      <c r="I148" s="116" t="s">
        <v>49</v>
      </c>
      <c r="J148" s="116"/>
      <c r="T148" s="204"/>
      <c r="U148" s="205"/>
    </row>
    <row r="149" spans="1:21" x14ac:dyDescent="0.25">
      <c r="B149" s="180"/>
      <c r="C149" s="127"/>
      <c r="D149" s="134" t="s">
        <v>174</v>
      </c>
      <c r="E149" s="380"/>
      <c r="F149" s="135"/>
      <c r="G149" s="188">
        <f>SUM(G144)</f>
        <v>30486.49</v>
      </c>
      <c r="H149" s="196"/>
      <c r="I149" s="116" t="s">
        <v>50</v>
      </c>
      <c r="J149" s="116"/>
      <c r="T149" s="206"/>
      <c r="U149" s="205"/>
    </row>
    <row r="150" spans="1:21" x14ac:dyDescent="0.25">
      <c r="B150" s="180"/>
      <c r="C150" s="127"/>
      <c r="D150" s="134" t="s">
        <v>52</v>
      </c>
      <c r="E150" s="380"/>
      <c r="F150" s="135"/>
      <c r="G150" s="188">
        <f>SUM(J144)</f>
        <v>8540.7400000000016</v>
      </c>
      <c r="H150" s="196"/>
      <c r="I150" s="136" t="s">
        <v>51</v>
      </c>
      <c r="J150" s="136"/>
      <c r="K150" s="76"/>
      <c r="T150" s="206"/>
      <c r="U150" s="205"/>
    </row>
    <row r="151" spans="1:21" x14ac:dyDescent="0.25">
      <c r="B151" s="180"/>
      <c r="C151" s="127"/>
      <c r="D151" s="134"/>
      <c r="E151" s="380"/>
      <c r="F151" s="135"/>
      <c r="G151" s="189"/>
      <c r="H151" s="196"/>
      <c r="T151" s="206"/>
      <c r="U151" s="205"/>
    </row>
    <row r="152" spans="1:21" x14ac:dyDescent="0.25">
      <c r="B152" s="180"/>
      <c r="C152" s="127"/>
      <c r="D152" s="141" t="s">
        <v>344</v>
      </c>
      <c r="E152" s="142"/>
      <c r="F152" s="142"/>
      <c r="G152" s="190">
        <f>SUM(G148:G149)-G150</f>
        <v>21945.75</v>
      </c>
      <c r="H152" s="196"/>
      <c r="I152" s="131" t="s">
        <v>92</v>
      </c>
      <c r="J152" s="131"/>
      <c r="K152" s="131"/>
      <c r="T152" s="206"/>
      <c r="U152" s="205"/>
    </row>
    <row r="153" spans="1:21" x14ac:dyDescent="0.25">
      <c r="B153" s="180"/>
      <c r="C153" s="139"/>
      <c r="D153" s="73" t="s">
        <v>184</v>
      </c>
      <c r="G153" s="203" t="s">
        <v>172</v>
      </c>
      <c r="H153" s="196"/>
      <c r="T153" s="206"/>
      <c r="U153" s="205"/>
    </row>
    <row r="154" spans="1:21" x14ac:dyDescent="0.25">
      <c r="B154" s="180"/>
      <c r="C154" s="140"/>
      <c r="D154" s="73" t="s">
        <v>177</v>
      </c>
      <c r="G154" s="203" t="s">
        <v>172</v>
      </c>
      <c r="H154" s="196"/>
      <c r="I154" s="116" t="s">
        <v>91</v>
      </c>
      <c r="J154" s="116"/>
      <c r="K154" s="131"/>
      <c r="T154" s="205"/>
      <c r="U154" s="205"/>
    </row>
    <row r="155" spans="1:21" x14ac:dyDescent="0.25">
      <c r="B155" s="180"/>
      <c r="C155" s="140"/>
      <c r="D155" s="73" t="s">
        <v>185</v>
      </c>
      <c r="G155" s="78">
        <f>SUM(G152:G154)</f>
        <v>21945.75</v>
      </c>
      <c r="I155" s="144" t="s">
        <v>54</v>
      </c>
      <c r="J155" s="144"/>
      <c r="K155" s="144"/>
      <c r="M155" s="174">
        <v>21503.53</v>
      </c>
      <c r="O155" s="171" t="s">
        <v>168</v>
      </c>
      <c r="P155" s="172"/>
    </row>
    <row r="156" spans="1:21" x14ac:dyDescent="0.25">
      <c r="B156" s="180"/>
      <c r="C156" s="140"/>
      <c r="F156" s="116"/>
      <c r="M156" s="174">
        <v>412.12</v>
      </c>
      <c r="P156" s="116"/>
      <c r="Q156" s="116">
        <v>616.42999999999995</v>
      </c>
    </row>
    <row r="157" spans="1:21" x14ac:dyDescent="0.25">
      <c r="B157" s="180"/>
      <c r="C157" s="140"/>
      <c r="F157" s="116"/>
      <c r="I157" s="73" t="s">
        <v>153</v>
      </c>
      <c r="P157" s="116"/>
      <c r="Q157" s="116">
        <v>2112.02</v>
      </c>
    </row>
    <row r="158" spans="1:21" x14ac:dyDescent="0.25">
      <c r="B158" s="180"/>
      <c r="C158" s="140"/>
      <c r="F158" s="78"/>
      <c r="I158" s="116"/>
      <c r="J158" s="116"/>
      <c r="P158" s="136"/>
      <c r="Q158" s="137"/>
    </row>
    <row r="159" spans="1:21" x14ac:dyDescent="0.25">
      <c r="B159" s="180"/>
      <c r="C159" s="140"/>
      <c r="Q159" s="138">
        <f>SUM(Q156:Q158)</f>
        <v>2728.45</v>
      </c>
    </row>
    <row r="160" spans="1:21" x14ac:dyDescent="0.25">
      <c r="B160" s="180"/>
      <c r="C160" s="140"/>
      <c r="K160" s="447" t="s">
        <v>90</v>
      </c>
      <c r="L160" s="447"/>
      <c r="P160" s="77"/>
      <c r="Q160" s="116">
        <v>0</v>
      </c>
    </row>
    <row r="161" spans="2:17" x14ac:dyDescent="0.25">
      <c r="B161" s="180"/>
      <c r="C161" s="140"/>
      <c r="Q161" s="143">
        <f>SUM(Q159-Q160)</f>
        <v>2728.45</v>
      </c>
    </row>
    <row r="162" spans="2:17" x14ac:dyDescent="0.25">
      <c r="I162" s="79"/>
      <c r="J162" s="79"/>
      <c r="M162" s="148">
        <f>SUM(M155:M161)</f>
        <v>21915.649999999998</v>
      </c>
      <c r="Q162" s="145"/>
    </row>
    <row r="163" spans="2:17" ht="15.75" thickBot="1" x14ac:dyDescent="0.3">
      <c r="K163" s="73" t="s">
        <v>318</v>
      </c>
      <c r="M163" s="73">
        <v>242.21</v>
      </c>
      <c r="Q163" s="146">
        <f>SUM(Q161+Q162)</f>
        <v>2728.45</v>
      </c>
    </row>
    <row r="164" spans="2:17" x14ac:dyDescent="0.25">
      <c r="M164" s="147">
        <f>I144</f>
        <v>35.76</v>
      </c>
    </row>
    <row r="165" spans="2:17" x14ac:dyDescent="0.25">
      <c r="M165" s="173">
        <f>SUM(M162:M164)</f>
        <v>22193.619999999995</v>
      </c>
      <c r="Q165" s="78">
        <f>SUM(Q163)-G152</f>
        <v>-19217.3</v>
      </c>
    </row>
  </sheetData>
  <autoFilter ref="B5:L146" xr:uid="{00000000-0009-0000-0000-000002000000}"/>
  <mergeCells count="4">
    <mergeCell ref="B4:F4"/>
    <mergeCell ref="B2:I2"/>
    <mergeCell ref="K160:L160"/>
    <mergeCell ref="H4:J4"/>
  </mergeCells>
  <phoneticPr fontId="6" type="noConversion"/>
  <conditionalFormatting sqref="Q165">
    <cfRule type="cellIs" dxfId="67" priority="74" stopIfTrue="1" operator="notEqual">
      <formula>0</formula>
    </cfRule>
  </conditionalFormatting>
  <conditionalFormatting sqref="K6:L6 K107:L107 K110:L119 K121:L143 K51:L103 K8:L48">
    <cfRule type="expression" dxfId="66" priority="67">
      <formula>$K6="Memberships"</formula>
    </cfRule>
    <cfRule type="expression" dxfId="65" priority="68">
      <formula>$K6="Audit and legal"</formula>
    </cfRule>
    <cfRule type="expression" dxfId="64" priority="70">
      <formula>$K6="Running costs"</formula>
    </cfRule>
    <cfRule type="expression" dxfId="63" priority="71">
      <formula>$K6="Maintenance"</formula>
    </cfRule>
    <cfRule type="expression" dxfId="62" priority="72">
      <formula>$K6="Projects"</formula>
    </cfRule>
    <cfRule type="expression" dxfId="61" priority="73">
      <formula>$K6="Community fund"</formula>
    </cfRule>
  </conditionalFormatting>
  <conditionalFormatting sqref="K7:L7">
    <cfRule type="expression" dxfId="60" priority="55">
      <formula>$K7="Memberships"</formula>
    </cfRule>
    <cfRule type="expression" dxfId="59" priority="56">
      <formula>$K7="Audit and legal"</formula>
    </cfRule>
    <cfRule type="expression" dxfId="58" priority="57">
      <formula>$K7="Running costs"</formula>
    </cfRule>
    <cfRule type="expression" dxfId="57" priority="58">
      <formula>$K7="Maintenance"</formula>
    </cfRule>
    <cfRule type="expression" dxfId="56" priority="59">
      <formula>$K7="Projects"</formula>
    </cfRule>
    <cfRule type="expression" dxfId="55" priority="60">
      <formula>$K7="Community fund"</formula>
    </cfRule>
  </conditionalFormatting>
  <conditionalFormatting sqref="K49:L50">
    <cfRule type="expression" dxfId="54" priority="49">
      <formula>$K49="Memberships"</formula>
    </cfRule>
    <cfRule type="expression" dxfId="53" priority="50">
      <formula>$K49="Audit and legal"</formula>
    </cfRule>
    <cfRule type="expression" dxfId="52" priority="51">
      <formula>$K49="Running costs"</formula>
    </cfRule>
    <cfRule type="expression" dxfId="51" priority="52">
      <formula>$K49="Maintenance"</formula>
    </cfRule>
    <cfRule type="expression" dxfId="50" priority="53">
      <formula>$K49="Projects"</formula>
    </cfRule>
    <cfRule type="expression" dxfId="49" priority="54">
      <formula>$K49="Community fund"</formula>
    </cfRule>
  </conditionalFormatting>
  <conditionalFormatting sqref="K104">
    <cfRule type="expression" dxfId="48" priority="43">
      <formula>$K104="Memberships"</formula>
    </cfRule>
    <cfRule type="expression" dxfId="47" priority="44">
      <formula>$K104="Audit and legal"</formula>
    </cfRule>
    <cfRule type="expression" dxfId="46" priority="45">
      <formula>$K104="Running costs"</formula>
    </cfRule>
    <cfRule type="expression" dxfId="45" priority="46">
      <formula>$K104="Maintenance"</formula>
    </cfRule>
    <cfRule type="expression" dxfId="44" priority="47">
      <formula>$K104="Projects"</formula>
    </cfRule>
    <cfRule type="expression" dxfId="43" priority="48">
      <formula>$K104="Community fund"</formula>
    </cfRule>
  </conditionalFormatting>
  <conditionalFormatting sqref="L104">
    <cfRule type="expression" dxfId="42" priority="37">
      <formula>$K104="Memberships"</formula>
    </cfRule>
    <cfRule type="expression" dxfId="41" priority="38">
      <formula>$K104="Audit and legal"</formula>
    </cfRule>
    <cfRule type="expression" dxfId="40" priority="39">
      <formula>$K104="Running costs"</formula>
    </cfRule>
    <cfRule type="expression" dxfId="39" priority="40">
      <formula>$K104="Maintenance"</formula>
    </cfRule>
    <cfRule type="expression" dxfId="38" priority="41">
      <formula>$K104="Projects"</formula>
    </cfRule>
    <cfRule type="expression" dxfId="37" priority="42">
      <formula>$K104="Community fund"</formula>
    </cfRule>
  </conditionalFormatting>
  <conditionalFormatting sqref="K105:K106">
    <cfRule type="expression" dxfId="36" priority="31">
      <formula>$K105="Memberships"</formula>
    </cfRule>
    <cfRule type="expression" dxfId="35" priority="32">
      <formula>$K105="Audit and legal"</formula>
    </cfRule>
    <cfRule type="expression" dxfId="34" priority="33">
      <formula>$K105="Running costs"</formula>
    </cfRule>
    <cfRule type="expression" dxfId="33" priority="34">
      <formula>$K105="Maintenance"</formula>
    </cfRule>
    <cfRule type="expression" dxfId="32" priority="35">
      <formula>$K105="Projects"</formula>
    </cfRule>
    <cfRule type="expression" dxfId="31" priority="36">
      <formula>$K105="Community fund"</formula>
    </cfRule>
  </conditionalFormatting>
  <conditionalFormatting sqref="L105:L106">
    <cfRule type="expression" dxfId="30" priority="25">
      <formula>$K105="Memberships"</formula>
    </cfRule>
    <cfRule type="expression" dxfId="29" priority="26">
      <formula>$K105="Audit and legal"</formula>
    </cfRule>
    <cfRule type="expression" dxfId="28" priority="27">
      <formula>$K105="Running costs"</formula>
    </cfRule>
    <cfRule type="expression" dxfId="27" priority="28">
      <formula>$K105="Maintenance"</formula>
    </cfRule>
    <cfRule type="expression" dxfId="26" priority="29">
      <formula>$K105="Projects"</formula>
    </cfRule>
    <cfRule type="expression" dxfId="25" priority="30">
      <formula>$K105="Community fund"</formula>
    </cfRule>
  </conditionalFormatting>
  <conditionalFormatting sqref="K108:K109">
    <cfRule type="expression" dxfId="24" priority="19">
      <formula>$K108="Memberships"</formula>
    </cfRule>
    <cfRule type="expression" dxfId="23" priority="20">
      <formula>$K108="Audit and legal"</formula>
    </cfRule>
    <cfRule type="expression" dxfId="22" priority="21">
      <formula>$K108="Running costs"</formula>
    </cfRule>
    <cfRule type="expression" dxfId="21" priority="22">
      <formula>$K108="Maintenance"</formula>
    </cfRule>
    <cfRule type="expression" dxfId="20" priority="23">
      <formula>$K108="Projects"</formula>
    </cfRule>
    <cfRule type="expression" dxfId="19" priority="24">
      <formula>$K108="Community fund"</formula>
    </cfRule>
  </conditionalFormatting>
  <conditionalFormatting sqref="L108:L109">
    <cfRule type="expression" dxfId="18" priority="13">
      <formula>$K108="Memberships"</formula>
    </cfRule>
    <cfRule type="expression" dxfId="17" priority="14">
      <formula>$K108="Audit and legal"</formula>
    </cfRule>
    <cfRule type="expression" dxfId="16" priority="15">
      <formula>$K108="Running costs"</formula>
    </cfRule>
    <cfRule type="expression" dxfId="15" priority="16">
      <formula>$K108="Maintenance"</formula>
    </cfRule>
    <cfRule type="expression" dxfId="14" priority="17">
      <formula>$K108="Projects"</formula>
    </cfRule>
    <cfRule type="expression" dxfId="13" priority="18">
      <formula>$K108="Community fund"</formula>
    </cfRule>
  </conditionalFormatting>
  <conditionalFormatting sqref="K120">
    <cfRule type="expression" dxfId="12" priority="7">
      <formula>$K120="Memberships"</formula>
    </cfRule>
    <cfRule type="expression" dxfId="11" priority="8">
      <formula>$K120="Audit and legal"</formula>
    </cfRule>
    <cfRule type="expression" dxfId="10" priority="9">
      <formula>$K120="Running costs"</formula>
    </cfRule>
    <cfRule type="expression" dxfId="9" priority="10">
      <formula>$K120="Maintenance"</formula>
    </cfRule>
    <cfRule type="expression" dxfId="8" priority="11">
      <formula>$K120="Projects"</formula>
    </cfRule>
    <cfRule type="expression" dxfId="7" priority="12">
      <formula>$K120="Community fund"</formula>
    </cfRule>
  </conditionalFormatting>
  <conditionalFormatting sqref="L120">
    <cfRule type="expression" dxfId="6" priority="1">
      <formula>$K120="Memberships"</formula>
    </cfRule>
    <cfRule type="expression" dxfId="5" priority="2">
      <formula>$K120="Audit and legal"</formula>
    </cfRule>
    <cfRule type="expression" dxfId="4" priority="3">
      <formula>$K120="Running costs"</formula>
    </cfRule>
    <cfRule type="expression" dxfId="3" priority="4">
      <formula>$K120="Maintenance"</formula>
    </cfRule>
    <cfRule type="expression" dxfId="2" priority="5">
      <formula>$K120="Projects"</formula>
    </cfRule>
    <cfRule type="expression" dxfId="1" priority="6">
      <formula>$K120="Community fund"</formula>
    </cfRule>
  </conditionalFormatting>
  <dataValidations count="2">
    <dataValidation type="list" allowBlank="1" showInputMessage="1" showErrorMessage="1" sqref="K6:K48 K50:K143" xr:uid="{00000000-0002-0000-0200-000000000000}">
      <formula1>Budget_Lines</formula1>
    </dataValidation>
    <dataValidation type="list" allowBlank="1" showInputMessage="1" showErrorMessage="1" sqref="L6:L143" xr:uid="{00000000-0002-0000-0200-000001000000}">
      <formula1>Sub_categories</formula1>
    </dataValidation>
  </dataValidations>
  <printOptions headings="1"/>
  <pageMargins left="0.04" right="0.04" top="0.16" bottom="0.16" header="0.12000000000000001" footer="0.12000000000000001"/>
  <pageSetup paperSize="9" fitToHeight="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S44"/>
  <sheetViews>
    <sheetView zoomScale="130" zoomScaleNormal="130" workbookViewId="0">
      <selection activeCell="I36" sqref="I36"/>
    </sheetView>
  </sheetViews>
  <sheetFormatPr defaultColWidth="8.85546875" defaultRowHeight="12.75" x14ac:dyDescent="0.2"/>
  <cols>
    <col min="1" max="1" width="22.42578125" customWidth="1"/>
    <col min="2" max="2" width="10" customWidth="1"/>
    <col min="3" max="3" width="11.42578125" customWidth="1"/>
    <col min="4" max="4" width="10" customWidth="1"/>
    <col min="5" max="5" width="0.7109375" customWidth="1"/>
    <col min="6" max="7" width="12.7109375" customWidth="1"/>
    <col min="8" max="8" width="10.42578125" customWidth="1"/>
    <col min="9" max="9" width="10.140625" customWidth="1"/>
    <col min="10" max="10" width="1.42578125" customWidth="1"/>
    <col min="11" max="11" width="10.42578125" customWidth="1"/>
    <col min="12" max="12" width="10.140625" customWidth="1"/>
    <col min="13" max="13" width="12.7109375" customWidth="1"/>
    <col min="14" max="14" width="12.42578125" customWidth="1"/>
    <col min="15" max="15" width="3.5703125" customWidth="1"/>
    <col min="16" max="16" width="10.140625" customWidth="1"/>
    <col min="17" max="17" width="9.42578125" bestFit="1" customWidth="1"/>
  </cols>
  <sheetData>
    <row r="1" spans="1:19" ht="18" x14ac:dyDescent="0.25">
      <c r="A1" s="5" t="s">
        <v>37</v>
      </c>
      <c r="F1" s="10"/>
      <c r="G1" s="233" t="s">
        <v>238</v>
      </c>
      <c r="H1" s="10"/>
    </row>
    <row r="2" spans="1:19" ht="3" customHeight="1" thickBot="1" x14ac:dyDescent="0.25"/>
    <row r="3" spans="1:19" x14ac:dyDescent="0.2">
      <c r="A3" s="450" t="s">
        <v>117</v>
      </c>
      <c r="B3" s="451"/>
      <c r="C3" s="452"/>
      <c r="D3" s="242" t="s">
        <v>27</v>
      </c>
      <c r="E3" s="19"/>
      <c r="F3" s="456" t="s">
        <v>33</v>
      </c>
      <c r="G3" s="457"/>
      <c r="H3" s="457"/>
      <c r="I3" s="458"/>
      <c r="J3" s="18"/>
      <c r="K3" s="453" t="s">
        <v>39</v>
      </c>
      <c r="L3" s="454"/>
      <c r="M3" s="454"/>
      <c r="N3" s="455"/>
    </row>
    <row r="4" spans="1:19" ht="12" customHeight="1" x14ac:dyDescent="0.2">
      <c r="A4" s="243"/>
      <c r="B4" s="235"/>
      <c r="C4" s="207"/>
      <c r="D4" s="244"/>
      <c r="E4" s="20"/>
      <c r="F4" s="459" t="s">
        <v>151</v>
      </c>
      <c r="G4" s="460"/>
      <c r="H4" s="461"/>
      <c r="I4" s="162">
        <v>3643.89</v>
      </c>
      <c r="J4" s="21"/>
      <c r="K4" s="22"/>
      <c r="L4" s="22" t="s">
        <v>7</v>
      </c>
      <c r="M4" s="22" t="s">
        <v>6</v>
      </c>
      <c r="N4" s="22" t="s">
        <v>88</v>
      </c>
    </row>
    <row r="5" spans="1:19" ht="12" customHeight="1" x14ac:dyDescent="0.2">
      <c r="A5" s="245"/>
      <c r="B5" s="236"/>
      <c r="C5" s="240"/>
      <c r="D5" s="246"/>
      <c r="E5" s="23"/>
      <c r="F5" s="462" t="s">
        <v>123</v>
      </c>
      <c r="G5" s="463"/>
      <c r="H5" s="464"/>
      <c r="I5" s="163">
        <v>2417.96</v>
      </c>
      <c r="J5" s="21"/>
      <c r="K5" s="24" t="s">
        <v>8</v>
      </c>
      <c r="L5" s="25">
        <f>Budget!L12</f>
        <v>28206</v>
      </c>
      <c r="M5" s="26">
        <f>Budget!K12</f>
        <v>21375</v>
      </c>
      <c r="N5" s="25">
        <f>SUM(M5)-L5</f>
        <v>-6831</v>
      </c>
    </row>
    <row r="6" spans="1:19" ht="12" customHeight="1" x14ac:dyDescent="0.2">
      <c r="A6" s="245"/>
      <c r="B6" s="236"/>
      <c r="C6" s="240"/>
      <c r="D6" s="246"/>
      <c r="E6" s="23"/>
      <c r="F6" s="462" t="s">
        <v>38</v>
      </c>
      <c r="G6" s="463"/>
      <c r="H6" s="464"/>
      <c r="I6" s="170">
        <v>0</v>
      </c>
      <c r="J6" s="21"/>
      <c r="K6" s="24" t="s">
        <v>338</v>
      </c>
      <c r="L6" s="25">
        <f>Budget!L10</f>
        <v>1986.8500000000004</v>
      </c>
      <c r="M6" s="26">
        <f>Budget!K10</f>
        <v>1986.8500000000004</v>
      </c>
      <c r="N6" s="25">
        <v>0</v>
      </c>
    </row>
    <row r="7" spans="1:19" ht="12" customHeight="1" x14ac:dyDescent="0.2">
      <c r="A7" s="245"/>
      <c r="B7" s="236"/>
      <c r="C7" s="240"/>
      <c r="D7" s="246"/>
      <c r="E7" s="27"/>
      <c r="F7" s="462" t="s">
        <v>89</v>
      </c>
      <c r="G7" s="463"/>
      <c r="H7" s="464"/>
      <c r="I7" s="164">
        <f>SUM(I4:I6)</f>
        <v>6061.85</v>
      </c>
      <c r="J7" s="21"/>
      <c r="K7" s="24" t="s">
        <v>45</v>
      </c>
      <c r="L7" s="25">
        <f>Budget!L14</f>
        <v>10</v>
      </c>
      <c r="M7" s="25">
        <f>Budget!K14</f>
        <v>1.82</v>
      </c>
      <c r="N7" s="25">
        <f>SUM(M7)-L7</f>
        <v>-8.18</v>
      </c>
    </row>
    <row r="8" spans="1:19" ht="12" customHeight="1" x14ac:dyDescent="0.2">
      <c r="A8" s="245"/>
      <c r="B8" s="236"/>
      <c r="C8" s="240"/>
      <c r="D8" s="246"/>
      <c r="E8" s="27"/>
      <c r="F8" s="462" t="s">
        <v>53</v>
      </c>
      <c r="G8" s="463"/>
      <c r="H8" s="464"/>
      <c r="I8" s="165"/>
      <c r="J8" s="29"/>
      <c r="K8" s="24" t="s">
        <v>152</v>
      </c>
      <c r="L8" s="25"/>
      <c r="M8" s="25">
        <f>F26</f>
        <v>35.76</v>
      </c>
      <c r="N8" s="25">
        <f>SUM(M8)-L8</f>
        <v>35.76</v>
      </c>
      <c r="S8" s="9"/>
    </row>
    <row r="9" spans="1:19" ht="12" customHeight="1" x14ac:dyDescent="0.2">
      <c r="A9" s="245"/>
      <c r="B9" s="236"/>
      <c r="C9" s="240"/>
      <c r="D9" s="246"/>
      <c r="E9" s="27"/>
      <c r="F9" s="462"/>
      <c r="G9" s="463"/>
      <c r="H9" s="464"/>
      <c r="I9" s="164">
        <f>SUM(I7-I8)</f>
        <v>6061.85</v>
      </c>
      <c r="J9" s="30"/>
      <c r="K9" s="24" t="s">
        <v>167</v>
      </c>
      <c r="L9" s="24">
        <v>0</v>
      </c>
      <c r="M9" s="25">
        <f>D27</f>
        <v>0</v>
      </c>
      <c r="N9" s="25">
        <f>SUM(M9)-L9</f>
        <v>0</v>
      </c>
    </row>
    <row r="10" spans="1:19" ht="12" customHeight="1" x14ac:dyDescent="0.2">
      <c r="A10" s="245"/>
      <c r="B10" s="236"/>
      <c r="C10" s="240"/>
      <c r="D10" s="246"/>
      <c r="E10" s="27"/>
      <c r="F10" s="462" t="s">
        <v>34</v>
      </c>
      <c r="G10" s="463"/>
      <c r="H10" s="464"/>
      <c r="I10" s="166">
        <f>Cashbook!G149</f>
        <v>30486.49</v>
      </c>
      <c r="J10" s="30"/>
      <c r="K10" s="22" t="s">
        <v>0</v>
      </c>
      <c r="L10" s="31">
        <f>SUM(L5:L9)</f>
        <v>30202.85</v>
      </c>
      <c r="M10" s="31">
        <f>SUM(M5:M9)</f>
        <v>23399.429999999997</v>
      </c>
      <c r="N10" s="31">
        <f>SUM(N5:N9)</f>
        <v>-6803.42</v>
      </c>
    </row>
    <row r="11" spans="1:19" ht="12" customHeight="1" x14ac:dyDescent="0.2">
      <c r="A11" s="245"/>
      <c r="B11" s="236"/>
      <c r="C11" s="240"/>
      <c r="D11" s="246"/>
      <c r="E11" s="27"/>
      <c r="F11" s="462" t="s">
        <v>149</v>
      </c>
      <c r="G11" s="463"/>
      <c r="H11" s="464"/>
      <c r="I11" s="167">
        <f>SUM(Cashbook!H144,Cashbook!I144)</f>
        <v>8540.7400000000016</v>
      </c>
      <c r="J11" s="32"/>
      <c r="K11" s="30"/>
      <c r="L11" s="28"/>
      <c r="M11" s="28"/>
      <c r="N11" s="28"/>
    </row>
    <row r="12" spans="1:19" ht="12" customHeight="1" x14ac:dyDescent="0.2">
      <c r="A12" s="245"/>
      <c r="B12" s="236"/>
      <c r="C12" s="240"/>
      <c r="D12" s="246"/>
      <c r="E12" s="27"/>
      <c r="F12" s="462" t="s">
        <v>35</v>
      </c>
      <c r="G12" s="463"/>
      <c r="H12" s="464"/>
      <c r="I12" s="168"/>
      <c r="J12" s="32"/>
      <c r="K12" s="171" t="s">
        <v>168</v>
      </c>
      <c r="L12" s="172"/>
      <c r="M12" s="28"/>
      <c r="N12" s="28"/>
    </row>
    <row r="13" spans="1:19" ht="12" customHeight="1" x14ac:dyDescent="0.2">
      <c r="A13" s="245"/>
      <c r="B13" s="236"/>
      <c r="C13" s="240"/>
      <c r="D13" s="246"/>
      <c r="E13" s="27"/>
      <c r="F13" s="465" t="s">
        <v>36</v>
      </c>
      <c r="G13" s="466"/>
      <c r="H13" s="467"/>
      <c r="I13" s="169">
        <f>SUM(I10-I11-I12)</f>
        <v>21945.75</v>
      </c>
      <c r="J13" s="32"/>
      <c r="K13" s="32"/>
      <c r="L13" s="28"/>
      <c r="M13" s="28"/>
      <c r="N13" s="28"/>
    </row>
    <row r="14" spans="1:19" x14ac:dyDescent="0.2">
      <c r="A14" s="245"/>
      <c r="B14" s="236"/>
      <c r="C14" s="240"/>
      <c r="D14" s="246"/>
      <c r="E14" s="27"/>
      <c r="F14" s="32"/>
      <c r="G14" s="32"/>
      <c r="H14" s="32"/>
      <c r="I14" s="32"/>
      <c r="J14" s="32"/>
      <c r="K14" s="32"/>
      <c r="L14" s="28"/>
      <c r="M14" s="28"/>
      <c r="N14" s="28"/>
    </row>
    <row r="15" spans="1:19" ht="12.75" customHeight="1" thickBot="1" x14ac:dyDescent="0.25">
      <c r="A15" s="247"/>
      <c r="B15" s="248"/>
      <c r="C15" s="248"/>
      <c r="D15" s="430">
        <f>SUM(D4:D13)</f>
        <v>0</v>
      </c>
      <c r="E15" s="33"/>
      <c r="F15" s="32"/>
      <c r="G15" s="32"/>
      <c r="H15" s="32"/>
      <c r="I15" s="32"/>
      <c r="J15" s="32"/>
      <c r="K15" s="32"/>
      <c r="L15" s="28"/>
      <c r="M15" s="28"/>
      <c r="N15" s="28"/>
    </row>
    <row r="16" spans="1:19" ht="4.5" customHeight="1" x14ac:dyDescent="0.2">
      <c r="A16" s="34"/>
      <c r="B16" s="30"/>
      <c r="C16" s="30"/>
      <c r="D16" s="30"/>
      <c r="E16" s="30"/>
      <c r="F16" s="30"/>
      <c r="G16" s="30"/>
      <c r="H16" s="30"/>
      <c r="I16" s="30"/>
      <c r="J16" s="30"/>
      <c r="K16" s="30"/>
      <c r="L16" s="28"/>
      <c r="M16" s="28"/>
      <c r="N16" s="28"/>
    </row>
    <row r="17" spans="1:17" x14ac:dyDescent="0.2">
      <c r="A17" s="208" t="s">
        <v>30</v>
      </c>
      <c r="B17" s="208"/>
      <c r="C17" s="208"/>
      <c r="D17" s="208"/>
      <c r="E17" s="208"/>
      <c r="F17" s="208"/>
      <c r="G17" s="208"/>
      <c r="H17" s="208"/>
      <c r="I17" s="208"/>
      <c r="J17" s="208"/>
      <c r="K17" s="208"/>
      <c r="L17" s="208"/>
      <c r="M17" s="208"/>
      <c r="N17" s="208"/>
    </row>
    <row r="18" spans="1:17" ht="13.5" thickBot="1" x14ac:dyDescent="0.25">
      <c r="A18" s="359" t="s">
        <v>29</v>
      </c>
      <c r="B18" s="360" t="s">
        <v>9</v>
      </c>
      <c r="C18" s="360" t="s">
        <v>31</v>
      </c>
      <c r="D18" s="360" t="s">
        <v>167</v>
      </c>
      <c r="F18" s="360" t="s">
        <v>166</v>
      </c>
      <c r="G18" s="360" t="s">
        <v>87</v>
      </c>
      <c r="H18" s="361" t="s">
        <v>32</v>
      </c>
      <c r="I18" s="362"/>
      <c r="J18" s="362"/>
      <c r="K18" s="362"/>
      <c r="L18" s="362"/>
      <c r="M18" s="362"/>
      <c r="N18" s="363"/>
    </row>
    <row r="19" spans="1:17" x14ac:dyDescent="0.2">
      <c r="A19" s="495" t="s">
        <v>85</v>
      </c>
      <c r="B19" s="496">
        <f>Budget!L68</f>
        <v>4550</v>
      </c>
      <c r="C19" s="497">
        <f>SUM(Budget!K62:K66)</f>
        <v>2450</v>
      </c>
      <c r="D19" s="497">
        <f>Budget!K67</f>
        <v>0</v>
      </c>
      <c r="E19" s="498"/>
      <c r="F19" s="497">
        <f>Budget!K68</f>
        <v>2450</v>
      </c>
      <c r="G19" s="497">
        <f>SUM(B19)-SUM(F19)</f>
        <v>2100</v>
      </c>
      <c r="H19" s="499"/>
      <c r="I19" s="500"/>
      <c r="J19" s="500"/>
      <c r="K19" s="500"/>
      <c r="L19" s="500"/>
      <c r="M19" s="500"/>
      <c r="N19" s="501"/>
      <c r="P19" t="s">
        <v>339</v>
      </c>
    </row>
    <row r="20" spans="1:17" ht="13.5" thickBot="1" x14ac:dyDescent="0.25">
      <c r="A20" s="502" t="s">
        <v>12</v>
      </c>
      <c r="B20" s="503">
        <f>Budget!L81</f>
        <v>2992</v>
      </c>
      <c r="C20" s="504">
        <f>SUM(Budget!K69:K79)</f>
        <v>341.11</v>
      </c>
      <c r="D20" s="504">
        <f>Budget!K80</f>
        <v>0</v>
      </c>
      <c r="E20" s="505"/>
      <c r="F20" s="504">
        <f>Budget!K81</f>
        <v>341.11</v>
      </c>
      <c r="G20" s="504">
        <f t="shared" ref="G20:G26" si="0">SUM(B20)-SUM(F20)</f>
        <v>2650.89</v>
      </c>
      <c r="H20" s="506"/>
      <c r="I20" s="507"/>
      <c r="J20" s="507"/>
      <c r="K20" s="507"/>
      <c r="L20" s="507"/>
      <c r="M20" s="507"/>
      <c r="N20" s="508"/>
    </row>
    <row r="21" spans="1:17" ht="2.25" customHeight="1" thickBot="1" x14ac:dyDescent="0.25">
      <c r="A21" s="364"/>
      <c r="B21" s="365"/>
      <c r="C21" s="366"/>
      <c r="D21" s="366"/>
      <c r="E21" s="367"/>
      <c r="F21" s="366"/>
      <c r="G21" s="366"/>
      <c r="H21" s="368"/>
      <c r="I21" s="369"/>
      <c r="J21" s="369"/>
      <c r="K21" s="369"/>
      <c r="L21" s="369"/>
      <c r="M21" s="369"/>
      <c r="N21" s="369"/>
    </row>
    <row r="22" spans="1:17" x14ac:dyDescent="0.2">
      <c r="A22" s="381" t="s">
        <v>13</v>
      </c>
      <c r="B22" s="382">
        <f>Budget!L24</f>
        <v>4750</v>
      </c>
      <c r="C22" s="383">
        <f>SUM(Budget!K20:K23)</f>
        <v>2483.5</v>
      </c>
      <c r="D22" s="383">
        <v>0</v>
      </c>
      <c r="E22" s="384"/>
      <c r="F22" s="383">
        <f>Budget!K24</f>
        <v>2483.5</v>
      </c>
      <c r="G22" s="383">
        <f t="shared" si="0"/>
        <v>2266.5</v>
      </c>
      <c r="H22" s="385"/>
      <c r="I22" s="386"/>
      <c r="J22" s="386"/>
      <c r="K22" s="386"/>
      <c r="L22" s="386"/>
      <c r="M22" s="386"/>
      <c r="N22" s="387"/>
      <c r="P22" t="s">
        <v>129</v>
      </c>
    </row>
    <row r="23" spans="1:17" x14ac:dyDescent="0.2">
      <c r="A23" s="388" t="s">
        <v>15</v>
      </c>
      <c r="B23" s="389">
        <f>Budget!L39</f>
        <v>7275</v>
      </c>
      <c r="C23" s="390">
        <f>SUM(Budget!K26:K37)</f>
        <v>2847.5499999999997</v>
      </c>
      <c r="D23" s="390">
        <f>Budget!K38</f>
        <v>0</v>
      </c>
      <c r="E23" s="391"/>
      <c r="F23" s="390">
        <f>Budget!K39</f>
        <v>2847.5499999999997</v>
      </c>
      <c r="G23" s="390">
        <f t="shared" si="0"/>
        <v>4427.4500000000007</v>
      </c>
      <c r="H23" s="392"/>
      <c r="I23" s="393"/>
      <c r="J23" s="393"/>
      <c r="K23" s="393"/>
      <c r="L23" s="393"/>
      <c r="M23" s="393"/>
      <c r="N23" s="394"/>
    </row>
    <row r="24" spans="1:17" x14ac:dyDescent="0.2">
      <c r="A24" s="388" t="s">
        <v>10</v>
      </c>
      <c r="B24" s="389">
        <f>Budget!L48</f>
        <v>550</v>
      </c>
      <c r="C24" s="390">
        <f>SUM(Budget!K40:K47)</f>
        <v>382.82</v>
      </c>
      <c r="D24" s="390">
        <v>0</v>
      </c>
      <c r="E24" s="391"/>
      <c r="F24" s="390">
        <f>Budget!K48</f>
        <v>382.82</v>
      </c>
      <c r="G24" s="390">
        <f t="shared" si="0"/>
        <v>167.18</v>
      </c>
      <c r="H24" s="392"/>
      <c r="I24" s="393"/>
      <c r="J24" s="393"/>
      <c r="K24" s="393"/>
      <c r="L24" s="393"/>
      <c r="M24" s="393"/>
      <c r="N24" s="394"/>
    </row>
    <row r="25" spans="1:17" x14ac:dyDescent="0.2">
      <c r="A25" s="388" t="s">
        <v>86</v>
      </c>
      <c r="B25" s="389">
        <f>Budget!L52</f>
        <v>400</v>
      </c>
      <c r="C25" s="390">
        <f>SUM(Budget!K49:K51)</f>
        <v>0</v>
      </c>
      <c r="D25" s="390">
        <v>0</v>
      </c>
      <c r="E25" s="391"/>
      <c r="F25" s="390">
        <f>Budget!K52</f>
        <v>0</v>
      </c>
      <c r="G25" s="390">
        <f t="shared" si="0"/>
        <v>400</v>
      </c>
      <c r="H25" s="392"/>
      <c r="I25" s="393"/>
      <c r="J25" s="393"/>
      <c r="K25" s="393"/>
      <c r="L25" s="393"/>
      <c r="M25" s="393"/>
      <c r="N25" s="394"/>
    </row>
    <row r="26" spans="1:17" ht="13.5" thickBot="1" x14ac:dyDescent="0.25">
      <c r="A26" s="395" t="s">
        <v>148</v>
      </c>
      <c r="B26" s="396">
        <f>Cashbook!I144</f>
        <v>35.76</v>
      </c>
      <c r="C26" s="397">
        <f>Cashbook!I144</f>
        <v>35.76</v>
      </c>
      <c r="D26" s="397">
        <v>0</v>
      </c>
      <c r="E26" s="398"/>
      <c r="F26" s="397">
        <f>Cashbook!I144</f>
        <v>35.76</v>
      </c>
      <c r="G26" s="397">
        <f t="shared" si="0"/>
        <v>0</v>
      </c>
      <c r="H26" s="399"/>
      <c r="I26" s="400"/>
      <c r="J26" s="400"/>
      <c r="K26" s="400"/>
      <c r="L26" s="400"/>
      <c r="M26" s="400"/>
      <c r="N26" s="401"/>
    </row>
    <row r="27" spans="1:17" ht="13.5" thickBot="1" x14ac:dyDescent="0.25">
      <c r="A27" s="425" t="s">
        <v>303</v>
      </c>
      <c r="B27" s="426">
        <f>SUM(B19:B26)</f>
        <v>20552.759999999998</v>
      </c>
      <c r="C27" s="426">
        <f t="shared" ref="C27:G27" si="1">SUM(C19:C26)</f>
        <v>8540.74</v>
      </c>
      <c r="D27" s="426">
        <f t="shared" si="1"/>
        <v>0</v>
      </c>
      <c r="E27" s="426">
        <f t="shared" si="1"/>
        <v>0</v>
      </c>
      <c r="F27" s="426">
        <f t="shared" si="1"/>
        <v>8540.74</v>
      </c>
      <c r="G27" s="426">
        <f t="shared" si="1"/>
        <v>12012.02</v>
      </c>
      <c r="H27" s="427"/>
      <c r="I27" s="428"/>
      <c r="J27" s="428"/>
      <c r="K27" s="428"/>
      <c r="L27" s="428"/>
      <c r="M27" s="428"/>
      <c r="N27" s="429"/>
    </row>
    <row r="28" spans="1:17" ht="14.25" thickTop="1" thickBot="1" x14ac:dyDescent="0.25">
      <c r="A28" s="509" t="s">
        <v>26</v>
      </c>
      <c r="B28" s="510">
        <f>Budget!L59</f>
        <v>9486.85</v>
      </c>
      <c r="C28" s="510"/>
      <c r="D28" s="510"/>
      <c r="E28" s="511"/>
      <c r="F28" s="510"/>
      <c r="G28" s="510">
        <f>C28</f>
        <v>0</v>
      </c>
      <c r="H28" s="512"/>
      <c r="I28" s="513"/>
      <c r="J28" s="513"/>
      <c r="K28" s="513"/>
      <c r="L28" s="513"/>
      <c r="M28" s="513"/>
      <c r="N28" s="514"/>
      <c r="P28" t="s">
        <v>26</v>
      </c>
      <c r="Q28" s="4"/>
    </row>
    <row r="29" spans="1:17" ht="7.5" customHeight="1" thickTop="1" x14ac:dyDescent="0.2"/>
    <row r="30" spans="1:17" ht="12.75" customHeight="1" x14ac:dyDescent="0.2">
      <c r="A30" s="209" t="s">
        <v>118</v>
      </c>
      <c r="B30" s="210"/>
      <c r="C30" s="210"/>
      <c r="D30" s="210"/>
      <c r="E30" s="210"/>
      <c r="F30" s="210"/>
      <c r="G30" s="210"/>
      <c r="H30" s="210"/>
      <c r="I30" s="210"/>
      <c r="J30" s="210"/>
      <c r="K30" s="210"/>
      <c r="L30" s="210"/>
      <c r="M30" s="210"/>
      <c r="N30" s="211"/>
    </row>
    <row r="31" spans="1:17" x14ac:dyDescent="0.2">
      <c r="A31" s="237" t="s">
        <v>233</v>
      </c>
      <c r="B31" s="238" t="s">
        <v>232</v>
      </c>
      <c r="C31" s="238">
        <v>625</v>
      </c>
      <c r="D31" s="213"/>
      <c r="E31" s="213"/>
      <c r="F31" s="213"/>
      <c r="G31" s="213"/>
      <c r="H31" s="213"/>
      <c r="I31" s="213"/>
      <c r="J31" s="213"/>
      <c r="K31" s="213"/>
      <c r="L31" s="213"/>
      <c r="M31" s="213"/>
      <c r="N31" s="214"/>
    </row>
    <row r="32" spans="1:17" x14ac:dyDescent="0.2">
      <c r="A32" s="237" t="s">
        <v>233</v>
      </c>
      <c r="B32" s="238" t="s">
        <v>234</v>
      </c>
      <c r="C32" s="238">
        <v>1000</v>
      </c>
      <c r="D32" s="213"/>
      <c r="E32" s="213"/>
      <c r="F32" s="213"/>
      <c r="G32" s="213"/>
      <c r="H32" s="213"/>
      <c r="I32" s="213"/>
      <c r="J32" s="213"/>
      <c r="K32" s="213"/>
      <c r="L32" s="213"/>
      <c r="M32" s="213"/>
      <c r="N32" s="214"/>
    </row>
    <row r="33" spans="1:14" x14ac:dyDescent="0.2">
      <c r="A33" s="237" t="s">
        <v>235</v>
      </c>
      <c r="B33" s="239"/>
      <c r="C33" s="238">
        <v>2450</v>
      </c>
      <c r="D33" s="213"/>
      <c r="E33" s="213"/>
      <c r="F33" s="213"/>
      <c r="G33" s="213"/>
      <c r="H33" s="213"/>
      <c r="I33" s="213"/>
      <c r="J33" s="213"/>
      <c r="K33" s="213"/>
      <c r="L33" s="213"/>
      <c r="M33" s="213"/>
      <c r="N33" s="214"/>
    </row>
    <row r="34" spans="1:14" x14ac:dyDescent="0.2">
      <c r="A34" s="431" t="s">
        <v>337</v>
      </c>
      <c r="B34" s="213"/>
      <c r="C34" s="432">
        <v>3046.81</v>
      </c>
      <c r="D34" s="213"/>
      <c r="E34" s="213"/>
      <c r="F34" s="213"/>
      <c r="G34" s="213"/>
      <c r="H34" s="213"/>
      <c r="I34" s="213"/>
      <c r="J34" s="213"/>
      <c r="K34" s="213"/>
      <c r="L34" s="213"/>
      <c r="M34" s="213"/>
      <c r="N34" s="214"/>
    </row>
    <row r="35" spans="1:14" x14ac:dyDescent="0.2">
      <c r="A35" s="212"/>
      <c r="B35" s="213"/>
      <c r="C35" s="213"/>
      <c r="D35" s="213"/>
      <c r="E35" s="213"/>
      <c r="F35" s="213"/>
      <c r="G35" s="213"/>
      <c r="H35" s="213"/>
      <c r="I35" s="213"/>
      <c r="J35" s="213"/>
      <c r="K35" s="213"/>
      <c r="L35" s="213"/>
      <c r="M35" s="213"/>
      <c r="N35" s="214"/>
    </row>
    <row r="36" spans="1:14" x14ac:dyDescent="0.2">
      <c r="A36" s="212"/>
      <c r="B36" s="213"/>
      <c r="C36" s="213"/>
      <c r="D36" s="213"/>
      <c r="E36" s="213"/>
      <c r="F36" s="213"/>
      <c r="G36" s="213"/>
      <c r="H36" s="213"/>
      <c r="I36" s="213"/>
      <c r="J36" s="213"/>
      <c r="K36" s="213"/>
      <c r="L36" s="213"/>
      <c r="M36" s="213"/>
      <c r="N36" s="214"/>
    </row>
    <row r="37" spans="1:14" x14ac:dyDescent="0.2">
      <c r="A37" s="212"/>
      <c r="B37" s="213"/>
      <c r="C37" s="213"/>
      <c r="D37" s="213"/>
      <c r="E37" s="213"/>
      <c r="F37" s="213"/>
      <c r="G37" s="213"/>
      <c r="H37" s="213"/>
      <c r="I37" s="213"/>
      <c r="J37" s="213"/>
      <c r="K37" s="213"/>
      <c r="L37" s="213"/>
      <c r="M37" s="213"/>
      <c r="N37" s="214"/>
    </row>
    <row r="38" spans="1:14" x14ac:dyDescent="0.2">
      <c r="A38" s="212"/>
      <c r="B38" s="213"/>
      <c r="C38" s="213"/>
      <c r="D38" s="213"/>
      <c r="E38" s="213"/>
      <c r="F38" s="213"/>
      <c r="G38" s="213"/>
      <c r="H38" s="213"/>
      <c r="I38" s="213"/>
      <c r="J38" s="213"/>
      <c r="K38" s="213"/>
      <c r="L38" s="213"/>
      <c r="M38" s="213"/>
      <c r="N38" s="214"/>
    </row>
    <row r="39" spans="1:14" x14ac:dyDescent="0.2">
      <c r="A39" s="212"/>
      <c r="B39" s="213"/>
      <c r="C39" s="213"/>
      <c r="D39" s="213"/>
      <c r="E39" s="213"/>
      <c r="F39" s="213"/>
      <c r="G39" s="213"/>
      <c r="H39" s="213"/>
      <c r="I39" s="213"/>
      <c r="J39" s="213"/>
      <c r="K39" s="213"/>
      <c r="L39" s="213"/>
      <c r="M39" s="213"/>
      <c r="N39" s="214"/>
    </row>
    <row r="40" spans="1:14" x14ac:dyDescent="0.2">
      <c r="A40" s="215"/>
      <c r="B40" s="216"/>
      <c r="C40" s="216"/>
      <c r="D40" s="216"/>
      <c r="E40" s="216"/>
      <c r="F40" s="216"/>
      <c r="G40" s="216"/>
      <c r="H40" s="216"/>
      <c r="I40" s="216"/>
      <c r="J40" s="216"/>
      <c r="K40" s="216"/>
      <c r="L40" s="216"/>
      <c r="M40" s="216"/>
      <c r="N40" s="217"/>
    </row>
    <row r="44" spans="1:14" ht="12" customHeight="1" x14ac:dyDescent="0.2"/>
  </sheetData>
  <mergeCells count="13">
    <mergeCell ref="F11:H11"/>
    <mergeCell ref="F12:H12"/>
    <mergeCell ref="F13:H13"/>
    <mergeCell ref="F6:H6"/>
    <mergeCell ref="F7:H7"/>
    <mergeCell ref="F8:H8"/>
    <mergeCell ref="F9:H9"/>
    <mergeCell ref="F10:H10"/>
    <mergeCell ref="A3:C3"/>
    <mergeCell ref="K3:N3"/>
    <mergeCell ref="F3:I3"/>
    <mergeCell ref="F4:H4"/>
    <mergeCell ref="F5:H5"/>
  </mergeCells>
  <phoneticPr fontId="6" type="noConversion"/>
  <conditionalFormatting sqref="G19:G26 G28">
    <cfRule type="cellIs" dxfId="0" priority="1" stopIfTrue="1" operator="lessThan">
      <formula>0</formula>
    </cfRule>
  </conditionalFormatting>
  <pageMargins left="7.874015748031496E-2" right="7.874015748031496E-2" top="7.874015748031496E-2" bottom="7.874015748031496E-2" header="0.31496062992125984" footer="0.31496062992125984"/>
  <pageSetup paperSize="9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9DF047ACAA0B14FAFEA258AB657A91B" ma:contentTypeVersion="10" ma:contentTypeDescription="Create a new document." ma:contentTypeScope="" ma:versionID="8dfd00fd5028cf5d8ec3836510ec531c">
  <xsd:schema xmlns:xsd="http://www.w3.org/2001/XMLSchema" xmlns:xs="http://www.w3.org/2001/XMLSchema" xmlns:p="http://schemas.microsoft.com/office/2006/metadata/properties" xmlns:ns3="b430ef5d-3491-4082-8037-8069ace1fea5" xmlns:ns4="a64e3c12-6f9a-49f1-b94e-16754ca394ce" targetNamespace="http://schemas.microsoft.com/office/2006/metadata/properties" ma:root="true" ma:fieldsID="ad354204c716c5a643bf59c2184365d5" ns3:_="" ns4:_="">
    <xsd:import namespace="b430ef5d-3491-4082-8037-8069ace1fea5"/>
    <xsd:import namespace="a64e3c12-6f9a-49f1-b94e-16754ca394c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30ef5d-3491-4082-8037-8069ace1fe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64e3c12-6f9a-49f1-b94e-16754ca394ce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B264966-6BEA-4687-B7C1-BC89DFA82F66}">
  <ds:schemaRefs>
    <ds:schemaRef ds:uri="http://purl.org/dc/terms/"/>
    <ds:schemaRef ds:uri="a64e3c12-6f9a-49f1-b94e-16754ca394ce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b430ef5d-3491-4082-8037-8069ace1fea5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1120CD72-4A1D-492F-9259-A4AA1F791F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430ef5d-3491-4082-8037-8069ace1fea5"/>
    <ds:schemaRef ds:uri="a64e3c12-6f9a-49f1-b94e-16754ca394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F722C6E-6134-45AB-92DE-BC1776DD5B8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7</vt:i4>
      </vt:variant>
    </vt:vector>
  </HeadingPairs>
  <TitlesOfParts>
    <vt:vector size="11" baseType="lpstr">
      <vt:lpstr>Budget</vt:lpstr>
      <vt:lpstr>PC Assets</vt:lpstr>
      <vt:lpstr>Cashbook</vt:lpstr>
      <vt:lpstr>Report</vt:lpstr>
      <vt:lpstr>Budget_Lines</vt:lpstr>
      <vt:lpstr>Budget!Print_Area</vt:lpstr>
      <vt:lpstr>Cashbook!Print_Area</vt:lpstr>
      <vt:lpstr>Report!Print_Area</vt:lpstr>
      <vt:lpstr>Budget!Print_Titles</vt:lpstr>
      <vt:lpstr>Cashbook!Print_Titles</vt:lpstr>
      <vt:lpstr>Sub_categories</vt:lpstr>
    </vt:vector>
  </TitlesOfParts>
  <Company>Slater4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Antony Slater</dc:creator>
  <cp:lastModifiedBy>Tony</cp:lastModifiedBy>
  <cp:lastPrinted>2020-07-29T09:19:54Z</cp:lastPrinted>
  <dcterms:created xsi:type="dcterms:W3CDTF">2010-10-31T11:29:21Z</dcterms:created>
  <dcterms:modified xsi:type="dcterms:W3CDTF">2020-08-11T14:55:11Z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0x01010059DF047ACAA0B14FAFEA258AB657A91B</vt:lpwstr>
  </property>
</Properties>
</file>