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3152" activeTab="2"/>
  </bookViews>
  <sheets>
    <sheet name="Report" sheetId="5" r:id="rId1"/>
    <sheet name="Cashbook" sheetId="8" r:id="rId2"/>
    <sheet name="Budget" sheetId="12" r:id="rId3"/>
    <sheet name="PC Assets" sheetId="9" r:id="rId4"/>
  </sheets>
  <definedNames>
    <definedName name="_xlnm._FilterDatabase" localSheetId="1" hidden="1">Cashbook!$B$5:$X$156</definedName>
    <definedName name="Budget_Lines">Cashbook!$AC$7:$AC$14</definedName>
    <definedName name="_xlnm.Print_Area" localSheetId="2">Budget!$C$1:$K$72</definedName>
    <definedName name="_xlnm.Print_Area" localSheetId="1">Cashbook!$B$1:$U$166</definedName>
    <definedName name="_xlnm.Print_Area" localSheetId="0">Report!$A$1:$N$39</definedName>
    <definedName name="_xlnm.Print_Titles" localSheetId="1">Cashbook!$5:$5</definedName>
    <definedName name="Sub_categories">Cashbook!$AC$17:$AC$31</definedName>
  </definedNames>
  <calcPr calcId="145621"/>
</workbook>
</file>

<file path=xl/calcChain.xml><?xml version="1.0" encoding="utf-8"?>
<calcChain xmlns="http://schemas.openxmlformats.org/spreadsheetml/2006/main">
  <c r="E73" i="12" l="1"/>
  <c r="F73" i="12"/>
  <c r="G73" i="12"/>
  <c r="H73" i="12"/>
  <c r="H71" i="12" l="1"/>
  <c r="J29" i="12" l="1"/>
  <c r="E72" i="12"/>
  <c r="F72" i="12"/>
  <c r="G72" i="12"/>
  <c r="E71" i="12"/>
  <c r="F71" i="12"/>
  <c r="G71" i="12"/>
  <c r="E70" i="12"/>
  <c r="F70" i="12"/>
  <c r="G70" i="12"/>
  <c r="H65" i="12"/>
  <c r="E65" i="12"/>
  <c r="F65" i="12"/>
  <c r="G65" i="12"/>
  <c r="J65" i="12"/>
  <c r="I49" i="12" l="1"/>
  <c r="I48" i="12"/>
  <c r="D24" i="12"/>
  <c r="E24" i="12"/>
  <c r="F24" i="12"/>
  <c r="G24" i="12"/>
  <c r="H24" i="12"/>
  <c r="J24" i="12"/>
  <c r="I60" i="12"/>
  <c r="D54" i="12"/>
  <c r="E54" i="12"/>
  <c r="F54" i="12"/>
  <c r="G54" i="12"/>
  <c r="H54" i="12"/>
  <c r="B24" i="5" s="1"/>
  <c r="J54" i="12"/>
  <c r="B20" i="5" l="1"/>
  <c r="I70" i="12"/>
  <c r="J70" i="12"/>
  <c r="J71" i="12" s="1"/>
  <c r="I64" i="12"/>
  <c r="I63" i="12" l="1"/>
  <c r="I62" i="12"/>
  <c r="I53" i="12"/>
  <c r="I52" i="12"/>
  <c r="I47" i="12"/>
  <c r="I46" i="12"/>
  <c r="I45" i="12"/>
  <c r="I44" i="12"/>
  <c r="I40" i="12"/>
  <c r="I39" i="12"/>
  <c r="I38" i="12"/>
  <c r="I37" i="12"/>
  <c r="I36" i="12"/>
  <c r="I35" i="12"/>
  <c r="I34" i="12"/>
  <c r="I33" i="12"/>
  <c r="I41" i="12"/>
  <c r="I32" i="12"/>
  <c r="I31" i="12"/>
  <c r="I28" i="12"/>
  <c r="I27" i="12"/>
  <c r="I26" i="12"/>
  <c r="I9" i="12"/>
  <c r="I6" i="12"/>
  <c r="I20" i="12"/>
  <c r="I19" i="12"/>
  <c r="I18" i="12"/>
  <c r="I17" i="12"/>
  <c r="I16" i="12"/>
  <c r="I15" i="12"/>
  <c r="I14" i="12"/>
  <c r="I13" i="12"/>
  <c r="I12" i="12"/>
  <c r="I5" i="12"/>
  <c r="I4" i="12"/>
  <c r="I54" i="12" l="1"/>
  <c r="I65" i="12"/>
  <c r="I71" i="12" s="1"/>
  <c r="I29" i="12"/>
  <c r="D21" i="5" s="1"/>
  <c r="I24" i="12"/>
  <c r="D20" i="5" s="1"/>
  <c r="H70" i="12"/>
  <c r="J50" i="12"/>
  <c r="I50" i="12"/>
  <c r="D23" i="5" s="1"/>
  <c r="H50" i="12"/>
  <c r="B23" i="5" s="1"/>
  <c r="G50" i="12"/>
  <c r="F50" i="12"/>
  <c r="E50" i="12"/>
  <c r="D50" i="12"/>
  <c r="J42" i="12"/>
  <c r="I42" i="12"/>
  <c r="D22" i="5" s="1"/>
  <c r="H42" i="12"/>
  <c r="B22" i="5" s="1"/>
  <c r="G42" i="12"/>
  <c r="F42" i="12"/>
  <c r="E42" i="12"/>
  <c r="D42" i="12"/>
  <c r="H29" i="12"/>
  <c r="B21" i="5" s="1"/>
  <c r="G29" i="12"/>
  <c r="F29" i="12"/>
  <c r="E29" i="12"/>
  <c r="D29" i="12"/>
  <c r="J10" i="12"/>
  <c r="I10" i="12"/>
  <c r="D19" i="5" s="1"/>
  <c r="H10" i="12"/>
  <c r="B19" i="5" s="1"/>
  <c r="G10" i="12"/>
  <c r="F10" i="12"/>
  <c r="E10" i="12"/>
  <c r="D10" i="12"/>
  <c r="D24" i="5" l="1"/>
  <c r="I56" i="12"/>
  <c r="I72" i="12" s="1"/>
  <c r="I73" i="12" s="1"/>
  <c r="B25" i="5"/>
  <c r="D56" i="12"/>
  <c r="E56" i="12"/>
  <c r="H56" i="12"/>
  <c r="F56" i="12"/>
  <c r="J56" i="12"/>
  <c r="J72" i="12" s="1"/>
  <c r="J73" i="12" s="1"/>
  <c r="G56" i="12"/>
  <c r="F154" i="8"/>
  <c r="G154" i="8"/>
  <c r="U154" i="8"/>
  <c r="T154" i="8"/>
  <c r="S154" i="8"/>
  <c r="R154" i="8"/>
  <c r="Q154" i="8"/>
  <c r="P154" i="8"/>
  <c r="M154" i="8"/>
  <c r="L154" i="8"/>
  <c r="K154" i="8"/>
  <c r="J154" i="8"/>
  <c r="I154" i="8"/>
  <c r="M6" i="5" s="1"/>
  <c r="H72" i="12" l="1"/>
  <c r="H154" i="8"/>
  <c r="V129" i="8" l="1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O154" i="8" l="1"/>
  <c r="N154" i="8"/>
  <c r="V154" i="8" l="1"/>
  <c r="F19" i="5"/>
  <c r="F20" i="5"/>
  <c r="F21" i="5"/>
  <c r="F23" i="5"/>
  <c r="F24" i="5"/>
  <c r="D25" i="5"/>
  <c r="F25" i="5" s="1"/>
  <c r="D15" i="5"/>
  <c r="F161" i="8"/>
  <c r="M5" i="5"/>
  <c r="N5" i="5" s="1"/>
  <c r="E32" i="9"/>
  <c r="D32" i="9"/>
  <c r="C32" i="9"/>
  <c r="B32" i="9"/>
  <c r="M161" i="8"/>
  <c r="M163" i="8" s="1"/>
  <c r="M165" i="8" s="1"/>
  <c r="I7" i="5"/>
  <c r="I9" i="5" s="1"/>
  <c r="F159" i="8"/>
  <c r="B27" i="5"/>
  <c r="L9" i="5"/>
  <c r="V6" i="8"/>
  <c r="C27" i="5"/>
  <c r="F22" i="5" l="1"/>
  <c r="N6" i="5"/>
  <c r="I10" i="5"/>
  <c r="F27" i="5" l="1"/>
  <c r="D27" i="5"/>
  <c r="F162" i="8"/>
  <c r="F164" i="8" s="1"/>
  <c r="M167" i="8" s="1"/>
  <c r="I11" i="5" l="1"/>
  <c r="I13" i="5" s="1"/>
  <c r="M7" i="5"/>
  <c r="N7" i="5" s="1"/>
  <c r="N9" i="5" s="1"/>
  <c r="M9" i="5" l="1"/>
</calcChain>
</file>

<file path=xl/sharedStrings.xml><?xml version="1.0" encoding="utf-8"?>
<sst xmlns="http://schemas.openxmlformats.org/spreadsheetml/2006/main" count="778" uniqueCount="406">
  <si>
    <t>Totals</t>
  </si>
  <si>
    <t>Asset Record</t>
  </si>
  <si>
    <t>Insurance</t>
  </si>
  <si>
    <t>Avening Parish Council</t>
  </si>
  <si>
    <t>Payments</t>
  </si>
  <si>
    <t>Receipts</t>
  </si>
  <si>
    <t>Actual</t>
  </si>
  <si>
    <t>Budgeted</t>
  </si>
  <si>
    <t>Precept</t>
  </si>
  <si>
    <t>Budget</t>
  </si>
  <si>
    <t>Memberships</t>
  </si>
  <si>
    <t>Payroll</t>
  </si>
  <si>
    <t>Projects</t>
  </si>
  <si>
    <t>Capital Projects</t>
  </si>
  <si>
    <t>Maintenance</t>
  </si>
  <si>
    <t>Other Contractors</t>
  </si>
  <si>
    <t>Council Running Costs</t>
  </si>
  <si>
    <t xml:space="preserve">Expenses/allowances </t>
  </si>
  <si>
    <t>GAPTC</t>
  </si>
  <si>
    <t>SLCC</t>
  </si>
  <si>
    <t>GRCC</t>
  </si>
  <si>
    <t>Glos Wildlife Trust</t>
  </si>
  <si>
    <t>Information Commissioner</t>
  </si>
  <si>
    <t>Training</t>
  </si>
  <si>
    <t>Other Costs</t>
  </si>
  <si>
    <t>Meeting Room Hire</t>
  </si>
  <si>
    <t>Website</t>
  </si>
  <si>
    <t>Audit</t>
  </si>
  <si>
    <t>Reserves</t>
  </si>
  <si>
    <t>Amount</t>
  </si>
  <si>
    <t>Details</t>
  </si>
  <si>
    <t>Budget Heads</t>
  </si>
  <si>
    <t>Spend breakdown</t>
  </si>
  <si>
    <t>Spend YTD</t>
  </si>
  <si>
    <t>Committed</t>
  </si>
  <si>
    <t>Comment</t>
  </si>
  <si>
    <t>Bank Reconciliation</t>
  </si>
  <si>
    <t>Total receipts</t>
  </si>
  <si>
    <t>Total payments</t>
  </si>
  <si>
    <t>Cheques issued not presented</t>
  </si>
  <si>
    <t>Closing balance</t>
  </si>
  <si>
    <t>Avening Parish Council Monthly Report</t>
  </si>
  <si>
    <t>High int a/c</t>
  </si>
  <si>
    <t>30 day a/c</t>
  </si>
  <si>
    <t>Annual Receipts Summary</t>
  </si>
  <si>
    <t>Payment</t>
  </si>
  <si>
    <t xml:space="preserve">Date </t>
  </si>
  <si>
    <t>Description</t>
  </si>
  <si>
    <t>Method</t>
  </si>
  <si>
    <t>Receipt</t>
  </si>
  <si>
    <t>Interest</t>
  </si>
  <si>
    <t>Other</t>
  </si>
  <si>
    <t>VAT</t>
  </si>
  <si>
    <t xml:space="preserve"> Salaries</t>
  </si>
  <si>
    <t>Clerk's Exp</t>
  </si>
  <si>
    <t>Bal b/fwd</t>
  </si>
  <si>
    <t>Sub totals</t>
  </si>
  <si>
    <t>Business 30 Day Notice</t>
  </si>
  <si>
    <t>Bal c/fwd</t>
  </si>
  <si>
    <t>Treasurer Account</t>
  </si>
  <si>
    <t>High Interest Deposit Account</t>
  </si>
  <si>
    <t>Plus Receipts</t>
  </si>
  <si>
    <t>Less Payments</t>
  </si>
  <si>
    <t>Less Unpresented Cheques</t>
  </si>
  <si>
    <t>Closing Balance</t>
  </si>
  <si>
    <t>Unique Ref No</t>
  </si>
  <si>
    <t>Check</t>
  </si>
  <si>
    <t>Payment Method</t>
  </si>
  <si>
    <t>Valuation as at 31st March 2013</t>
  </si>
  <si>
    <t>Woodstock Triangle</t>
  </si>
  <si>
    <t>Point Road / High Street Triangle</t>
  </si>
  <si>
    <t>Rectory Lane Playing Fields</t>
  </si>
  <si>
    <t>Ash Path (Between High Street and Rectory Lane</t>
  </si>
  <si>
    <t>Custodian Trustee of Village Hall</t>
  </si>
  <si>
    <t>Play Field surfaces</t>
  </si>
  <si>
    <t>5 x Dog Bins (Pound Hill, Playing Field, Sunground. West End, Mays Lane)</t>
  </si>
  <si>
    <t>6 x Litter Bins (3 at Playing Field, Sunground, Mays Lane Bus Shelter)</t>
  </si>
  <si>
    <t>3 X Grit Bins (Sandford Leaze, School, Post Office)</t>
  </si>
  <si>
    <t>3 x Bus Shelters ( Mays Lane, Hampton Hill, High Street)</t>
  </si>
  <si>
    <t>Fence (at Ash Path)</t>
  </si>
  <si>
    <t>2 x Telephone Kiosks (Point Road and Nags Head</t>
  </si>
  <si>
    <t>1 x Bench Seat (Rectory Lane)</t>
  </si>
  <si>
    <t>4 x Notice Boards (Nags Head, 2 at Vidllage Hall, 1 not used</t>
  </si>
  <si>
    <t>Village Sign (High Street)</t>
  </si>
  <si>
    <t>High Viz Jackets and Litter Pickers</t>
  </si>
  <si>
    <t>Comments</t>
  </si>
  <si>
    <t>Playing Field</t>
  </si>
  <si>
    <t>Grass cutting</t>
  </si>
  <si>
    <t>Deeds Storage</t>
  </si>
  <si>
    <t xml:space="preserve">C/F 1 April </t>
  </si>
  <si>
    <t>VAT Refund</t>
  </si>
  <si>
    <t>Estimated - Dependent upon balance at the end of the year</t>
  </si>
  <si>
    <t>TOTAL RESERVES</t>
  </si>
  <si>
    <t>General Reserves</t>
  </si>
  <si>
    <t>AUDIT &amp; LEGAL</t>
  </si>
  <si>
    <t>MEMBERSHIPS</t>
  </si>
  <si>
    <t>COUNCIL RUNNING COSTS</t>
  </si>
  <si>
    <t>MAINTENANCE</t>
  </si>
  <si>
    <t>PROJECTS</t>
  </si>
  <si>
    <t xml:space="preserve">COMMUNITY FUND            </t>
  </si>
  <si>
    <t>Countryside Conservation</t>
  </si>
  <si>
    <t xml:space="preserve">Avening Parish Council </t>
  </si>
  <si>
    <t>Community Fund</t>
  </si>
  <si>
    <t>Audit &amp; Legal</t>
  </si>
  <si>
    <t>M'ships</t>
  </si>
  <si>
    <t>Balance</t>
  </si>
  <si>
    <t>Difference</t>
  </si>
  <si>
    <t>Opening Balance at the Bank</t>
  </si>
  <si>
    <t>CLOSING BALANCES:</t>
  </si>
  <si>
    <t>Plus Unpresented Receipts</t>
  </si>
  <si>
    <t>Less Unpresented Cheques  (Bold)</t>
  </si>
  <si>
    <t>P1</t>
  </si>
  <si>
    <t>DD</t>
  </si>
  <si>
    <t>R1</t>
  </si>
  <si>
    <t>P2</t>
  </si>
  <si>
    <t>BACS</t>
  </si>
  <si>
    <t>P3</t>
  </si>
  <si>
    <t>P4</t>
  </si>
  <si>
    <t>P5</t>
  </si>
  <si>
    <t>P6</t>
  </si>
  <si>
    <t>R2</t>
  </si>
  <si>
    <t>R3</t>
  </si>
  <si>
    <t>R4</t>
  </si>
  <si>
    <t>Plusnet</t>
  </si>
  <si>
    <t>2 x Grit Bins (Church Farm and Ash Path)</t>
  </si>
  <si>
    <t>1 x Grit Bin (West End)</t>
  </si>
  <si>
    <t>Defibrillator</t>
  </si>
  <si>
    <t>Grit / Salt Spreader</t>
  </si>
  <si>
    <t>Grit Salt Shed</t>
  </si>
  <si>
    <t>Valuation as at 31st March 2014</t>
  </si>
  <si>
    <t>Valuation as at 31st March 2015</t>
  </si>
  <si>
    <t>Valuation as at 31st March 2016</t>
  </si>
  <si>
    <t>Budget 2013 - 2014</t>
  </si>
  <si>
    <t xml:space="preserve">Budget 2014 - 2015 </t>
  </si>
  <si>
    <t xml:space="preserve">Budget 2015 - 2016 </t>
  </si>
  <si>
    <t>Village Waterways</t>
  </si>
  <si>
    <t>Volunteer of the Year</t>
  </si>
  <si>
    <t>Defibrilator</t>
  </si>
  <si>
    <t>Avening History Group</t>
  </si>
  <si>
    <t>Project Manager</t>
  </si>
  <si>
    <t xml:space="preserve">Maintenance </t>
  </si>
  <si>
    <t>Water Pumps</t>
  </si>
  <si>
    <t>Refurb covered by donation</t>
  </si>
  <si>
    <t xml:space="preserve"> Legal fees</t>
  </si>
  <si>
    <t>RECEIPTS  (ESTIMATED)</t>
  </si>
  <si>
    <t>2013 - 2014</t>
  </si>
  <si>
    <t>2014 - 15</t>
  </si>
  <si>
    <t>2015 - 2016</t>
  </si>
  <si>
    <t>Parish Award</t>
  </si>
  <si>
    <t>Notice boards</t>
  </si>
  <si>
    <t>Phone boxes</t>
  </si>
  <si>
    <t>Bus shelter</t>
  </si>
  <si>
    <t>General maintainance</t>
  </si>
  <si>
    <t>Printing</t>
  </si>
  <si>
    <t xml:space="preserve">Refreshments for Meetings </t>
  </si>
  <si>
    <t>Chairman</t>
  </si>
  <si>
    <t>Not for Wreath or refreshments. Use enitrely at Chairman's descretion</t>
  </si>
  <si>
    <t>Unutilised but may require when records cupboard is clerared.</t>
  </si>
  <si>
    <t>Other reserves</t>
  </si>
  <si>
    <t>Budget 2016 - 17</t>
  </si>
  <si>
    <t>Payments for approval</t>
  </si>
  <si>
    <t>Balance validation</t>
  </si>
  <si>
    <t xml:space="preserve">Notes:
</t>
  </si>
  <si>
    <t>Budget 2017-18</t>
  </si>
  <si>
    <t>Minimal works needed</t>
  </si>
  <si>
    <t>2016-17</t>
  </si>
  <si>
    <t>2017-18</t>
  </si>
  <si>
    <t>Playing Field Upgrade</t>
  </si>
  <si>
    <t>Lee Cooper (Railings)</t>
  </si>
  <si>
    <t>Clerks Salary</t>
  </si>
  <si>
    <t>HMRC (PAYE)</t>
  </si>
  <si>
    <t>Avendale Garden Maintenance (Bramble cutting)</t>
  </si>
  <si>
    <t>Ruxton (Playing Field site survey)</t>
  </si>
  <si>
    <t>P7</t>
  </si>
  <si>
    <t>P8</t>
  </si>
  <si>
    <t>CDC (Wlaks Leaflet) 41189422</t>
  </si>
  <si>
    <t>P9</t>
  </si>
  <si>
    <t>P10</t>
  </si>
  <si>
    <t>P11</t>
  </si>
  <si>
    <t>Came &amp; Co (Insurance)</t>
  </si>
  <si>
    <t>P12</t>
  </si>
  <si>
    <t>Chinnick Theatre Services (Radio Mics)</t>
  </si>
  <si>
    <t>P13</t>
  </si>
  <si>
    <t>J-Bookkeepers (Internal Audit)</t>
  </si>
  <si>
    <t>P14</t>
  </si>
  <si>
    <t>Avendale Garden Maintenance (Grass cutting)</t>
  </si>
  <si>
    <t>P15</t>
  </si>
  <si>
    <t>Christine Howell</t>
  </si>
  <si>
    <t>R5</t>
  </si>
  <si>
    <t>P16</t>
  </si>
  <si>
    <t>Band for Village Party</t>
  </si>
  <si>
    <t>P17</t>
  </si>
  <si>
    <t>P18</t>
  </si>
  <si>
    <t>P19</t>
  </si>
  <si>
    <t>P20</t>
  </si>
  <si>
    <t>SLCC Membership</t>
  </si>
  <si>
    <t>R6</t>
  </si>
  <si>
    <t>P21</t>
  </si>
  <si>
    <t>Bouncy Castles Avening</t>
  </si>
  <si>
    <t>3600.00 per year April 2017 - March 2020</t>
  </si>
  <si>
    <t>Hall insurance £837.11 paid Nov 2016 (year 2 of 5 year agreement) Council Insurance £409.39 paid May 2017 year 1 of 3 year agreement</t>
  </si>
  <si>
    <t>AVENING  PARISH COUNCIL - CASH BOOK   2017  /  2018</t>
  </si>
  <si>
    <t>R7</t>
  </si>
  <si>
    <t>P22</t>
  </si>
  <si>
    <t>Chairmans Allowance</t>
  </si>
  <si>
    <t>P23</t>
  </si>
  <si>
    <t>Slater 4 Ltd (Website)</t>
  </si>
  <si>
    <t>P24</t>
  </si>
  <si>
    <t>P25</t>
  </si>
  <si>
    <t>P26</t>
  </si>
  <si>
    <t>Robert Cole (Playing Field Excavation)</t>
  </si>
  <si>
    <t>P27</t>
  </si>
  <si>
    <t>Avening Playgroup 2nd part of grant</t>
  </si>
  <si>
    <t>Credit less budgeted spend</t>
  </si>
  <si>
    <t>Treasurer Account A/C</t>
  </si>
  <si>
    <t>Avendale Garden Maintenance</t>
  </si>
  <si>
    <t>R8</t>
  </si>
  <si>
    <t>P28</t>
  </si>
  <si>
    <t>R9</t>
  </si>
  <si>
    <t>P29</t>
  </si>
  <si>
    <t>P30</t>
  </si>
  <si>
    <t>P31</t>
  </si>
  <si>
    <t xml:space="preserve">RC Triggs </t>
  </si>
  <si>
    <t>P32</t>
  </si>
  <si>
    <t>P33</t>
  </si>
  <si>
    <t>Valley Trading</t>
  </si>
  <si>
    <t>P34</t>
  </si>
  <si>
    <t>P35</t>
  </si>
  <si>
    <t>Jamie Taylor Plastering</t>
  </si>
  <si>
    <t>P36</t>
  </si>
  <si>
    <t>P37</t>
  </si>
  <si>
    <t>Cherington Village Hall</t>
  </si>
  <si>
    <t>Cheque 1342</t>
  </si>
  <si>
    <t>P38</t>
  </si>
  <si>
    <t>Jacob Tyrrell (Painting School Kitchen)</t>
  </si>
  <si>
    <t>MVB Plastics Ltd (PVC Windows)</t>
  </si>
  <si>
    <t>P39</t>
  </si>
  <si>
    <t>R10</t>
  </si>
  <si>
    <t>R11</t>
  </si>
  <si>
    <t>P40</t>
  </si>
  <si>
    <t>P &amp; R Heating</t>
  </si>
  <si>
    <t>P41</t>
  </si>
  <si>
    <t>Mainpoint</t>
  </si>
  <si>
    <t>P42</t>
  </si>
  <si>
    <t>P43</t>
  </si>
  <si>
    <t>p44</t>
  </si>
  <si>
    <t>P45</t>
  </si>
  <si>
    <t>P46</t>
  </si>
  <si>
    <t>P47</t>
  </si>
  <si>
    <t>P48</t>
  </si>
  <si>
    <t>R12</t>
  </si>
  <si>
    <t>R13</t>
  </si>
  <si>
    <t>P49</t>
  </si>
  <si>
    <t>Memorial Hall (Grant Application for hire charges for Youth Club)</t>
  </si>
  <si>
    <t>P50</t>
  </si>
  <si>
    <t>R14</t>
  </si>
  <si>
    <t>P51</t>
  </si>
  <si>
    <t>P53</t>
  </si>
  <si>
    <t>P52</t>
  </si>
  <si>
    <t>Chinnick Theatre Services (Screen)</t>
  </si>
  <si>
    <t>P54</t>
  </si>
  <si>
    <t>Seymour Surveyors (Playing Field)</t>
  </si>
  <si>
    <t>P55</t>
  </si>
  <si>
    <t>P56</t>
  </si>
  <si>
    <t>Cotswold Signs (Map Boards)</t>
  </si>
  <si>
    <t>P57</t>
  </si>
  <si>
    <t>Playahead (Play Equipment)</t>
  </si>
  <si>
    <t>P58</t>
  </si>
  <si>
    <t>Community First (Year 3 of 5 Hall Insurance)</t>
  </si>
  <si>
    <t>Grant Thornton (Annual Return)</t>
  </si>
  <si>
    <t>P59</t>
  </si>
  <si>
    <t>R15</t>
  </si>
  <si>
    <t>Playing Field Association</t>
  </si>
  <si>
    <t>Kevin Norris Ltd (Kitchen Electrics)</t>
  </si>
  <si>
    <t>Valley Trading (Skip)</t>
  </si>
  <si>
    <t>R16</t>
  </si>
  <si>
    <t>R17</t>
  </si>
  <si>
    <t>Cirencester Christmas Trees</t>
  </si>
  <si>
    <t>P60</t>
  </si>
  <si>
    <t>Community Heartbeat (Defib pads)</t>
  </si>
  <si>
    <t>P61</t>
  </si>
  <si>
    <t>P62</t>
  </si>
  <si>
    <t>P63</t>
  </si>
  <si>
    <t>P64</t>
  </si>
  <si>
    <t>P65</t>
  </si>
  <si>
    <t>P67</t>
  </si>
  <si>
    <t>P68</t>
  </si>
  <si>
    <t>Stroud Valley's Project</t>
  </si>
  <si>
    <t>P66</t>
  </si>
  <si>
    <t>P69</t>
  </si>
  <si>
    <t>R18</t>
  </si>
  <si>
    <t>Spend 2018/18</t>
  </si>
  <si>
    <t>Budget 2018-19</t>
  </si>
  <si>
    <t>Grants &amp; General</t>
  </si>
  <si>
    <t>Village Hall - general maintenance</t>
  </si>
  <si>
    <t>Village Hall upgrade</t>
  </si>
  <si>
    <t>Annual totals</t>
  </si>
  <si>
    <t>2018-19</t>
  </si>
  <si>
    <t>Sub-category</t>
  </si>
  <si>
    <t>Community fund</t>
  </si>
  <si>
    <t>Running costs</t>
  </si>
  <si>
    <t>Budget lines</t>
  </si>
  <si>
    <t>Sub categories</t>
  </si>
  <si>
    <t>Sub category</t>
  </si>
  <si>
    <t>Audit and Legal</t>
  </si>
  <si>
    <t>Office expenses</t>
  </si>
  <si>
    <t>community fund</t>
  </si>
  <si>
    <t>Kevin Norris Ltd (Reading Room)</t>
  </si>
  <si>
    <t>Other maintenance</t>
  </si>
  <si>
    <t>Includes broadband line for the hall</t>
  </si>
  <si>
    <t>Budget header</t>
  </si>
  <si>
    <t>P70</t>
  </si>
  <si>
    <t>Royal British Legion (Poppy Wreath)</t>
  </si>
  <si>
    <t>R19</t>
  </si>
  <si>
    <t>VAT Claim 1/4/16-31/3/17</t>
  </si>
  <si>
    <t>P71</t>
  </si>
  <si>
    <t>Adoption of phone kiosk</t>
  </si>
  <si>
    <t>P72</t>
  </si>
  <si>
    <t>GPFA</t>
  </si>
  <si>
    <t>SO</t>
  </si>
  <si>
    <t>R20</t>
  </si>
  <si>
    <t>Defib Grant</t>
  </si>
  <si>
    <t>R21</t>
  </si>
  <si>
    <t>Other grants/receipts</t>
  </si>
  <si>
    <t>Reserves*</t>
  </si>
  <si>
    <t>Small Projects</t>
  </si>
  <si>
    <t>Small projects</t>
  </si>
  <si>
    <t>Glos Playing Fields Assn</t>
  </si>
  <si>
    <t>Should include Poppy Wreath and donation; requests from local organisations. Walks leaflets; general village events &amp; Christmas tree</t>
  </si>
  <si>
    <t>S. Woodman - cutting at Sunground</t>
  </si>
  <si>
    <t>Maintenance of existing unit moved to Maintenance</t>
  </si>
  <si>
    <t>Moved to projects for 2018/19 - play eqpt not included here, as balanced out (TBC)</t>
  </si>
  <si>
    <t>e.g. defib batteries/pads</t>
  </si>
  <si>
    <t>for PC - Youth Club is in community fund</t>
  </si>
  <si>
    <t>Total credits</t>
  </si>
  <si>
    <t>Villager magazine</t>
  </si>
  <si>
    <t>Villager Magazine</t>
  </si>
  <si>
    <t>Church</t>
  </si>
  <si>
    <t>Removed, as not utilised</t>
  </si>
  <si>
    <t>included in payroll</t>
  </si>
  <si>
    <t>budget included in general grants</t>
  </si>
  <si>
    <t>increase by 3%</t>
  </si>
  <si>
    <t xml:space="preserve">Ringfenced to be held in reserve and carried forward at end of year </t>
  </si>
  <si>
    <t xml:space="preserve">Total credit available </t>
  </si>
  <si>
    <t>Precept less reserves</t>
  </si>
  <si>
    <t>Impact on reserves</t>
  </si>
  <si>
    <t>Forecast reserves</t>
  </si>
  <si>
    <t>Forecast at end of financial year</t>
  </si>
  <si>
    <t>Likely committed spend</t>
  </si>
  <si>
    <t>Paul Winstone (Fire Door)</t>
  </si>
  <si>
    <t>P73</t>
  </si>
  <si>
    <t>Queen Matilda (Tree Lighting)</t>
  </si>
  <si>
    <t>P74</t>
  </si>
  <si>
    <t>Jamie Taylor Plastering (Reading Room)</t>
  </si>
  <si>
    <t>P75</t>
  </si>
  <si>
    <t>IPP John Collinson Salary</t>
  </si>
  <si>
    <t>P76</t>
  </si>
  <si>
    <t>P77</t>
  </si>
  <si>
    <t>P78</t>
  </si>
  <si>
    <t>T. Slater (Wall Bracket)</t>
  </si>
  <si>
    <t>P79</t>
  </si>
  <si>
    <t>T. Slater (Samsung Drive)</t>
  </si>
  <si>
    <t>P80</t>
  </si>
  <si>
    <t>T. Slater (High Speed HDMI)</t>
  </si>
  <si>
    <t>P81</t>
  </si>
  <si>
    <t>P82</t>
  </si>
  <si>
    <t>Jacob Tyrrell(Door &amp; Painting Reading Room)</t>
  </si>
  <si>
    <t>P83</t>
  </si>
  <si>
    <t>P84</t>
  </si>
  <si>
    <t>P85</t>
  </si>
  <si>
    <t>Kevin Norris Ltd</t>
  </si>
  <si>
    <t>R22</t>
  </si>
  <si>
    <t>P86</t>
  </si>
  <si>
    <t>R23</t>
  </si>
  <si>
    <t>P87</t>
  </si>
  <si>
    <t>P88</t>
  </si>
  <si>
    <t>P89</t>
  </si>
  <si>
    <t>P90</t>
  </si>
  <si>
    <t>AVB Fabrications (Projector Cage)</t>
  </si>
  <si>
    <t>P91</t>
  </si>
  <si>
    <t>SLCC Branch AGM</t>
  </si>
  <si>
    <t>P92</t>
  </si>
  <si>
    <t>R24</t>
  </si>
  <si>
    <t>P93</t>
  </si>
  <si>
    <t>P94</t>
  </si>
  <si>
    <t>P95</t>
  </si>
  <si>
    <t>CDC Dog Bin Mays Lane</t>
  </si>
  <si>
    <t>P96</t>
  </si>
  <si>
    <t>CDC Planning Application Fee (Playing Field)</t>
  </si>
  <si>
    <t>R25</t>
  </si>
  <si>
    <t>Wayleave Payment</t>
  </si>
  <si>
    <t>Cheque</t>
  </si>
  <si>
    <t>P97</t>
  </si>
  <si>
    <t>P98</t>
  </si>
  <si>
    <t>Data Protection Renewal</t>
  </si>
  <si>
    <t>R26</t>
  </si>
  <si>
    <t>28 February 2018</t>
  </si>
  <si>
    <t>Clerks Salary  - 13/02/18 - 11/3/18</t>
  </si>
  <si>
    <t>GAPTC Annual Subscription</t>
  </si>
  <si>
    <t>Seymour Surveyors</t>
  </si>
  <si>
    <t>Parish Online Subscription</t>
  </si>
  <si>
    <t>Slater 4 Ltd</t>
  </si>
  <si>
    <t>Treats for tree lighting</t>
  </si>
  <si>
    <t>Cake Logos</t>
  </si>
  <si>
    <t>Photo scans</t>
  </si>
  <si>
    <t>Increase to include village events - Community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</si>
</sst>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/m/yy;@"/>
    <numFmt numFmtId="166" formatCode="d\-mmm"/>
    <numFmt numFmtId="167" formatCode="d\-mmm\-yy"/>
    <numFmt numFmtId="168" formatCode="#,##0.00_ ;\-#,##0.00\ "/>
    <numFmt numFmtId="169" formatCode="_-* #,##0_-;\-* #,##0_-;_-* &quot;-&quot;??_-;_-@_-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3366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0"/>
      <color rgb="FF00336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0" fontId="15" fillId="0" borderId="0"/>
    <xf numFmtId="0" fontId="12" fillId="0" borderId="0"/>
    <xf numFmtId="0" fontId="22" fillId="0" borderId="0"/>
    <xf numFmtId="0" fontId="22" fillId="0" borderId="0"/>
    <xf numFmtId="0" fontId="14" fillId="0" borderId="0"/>
    <xf numFmtId="0" fontId="11" fillId="0" borderId="0"/>
  </cellStyleXfs>
  <cellXfs count="335">
    <xf numFmtId="0" fontId="0" fillId="0" borderId="0" xfId="0"/>
    <xf numFmtId="164" fontId="0" fillId="0" borderId="0" xfId="0" applyNumberFormat="1"/>
    <xf numFmtId="165" fontId="13" fillId="2" borderId="0" xfId="0" applyNumberFormat="1" applyFont="1" applyFill="1"/>
    <xf numFmtId="14" fontId="0" fillId="0" borderId="0" xfId="0" applyNumberFormat="1"/>
    <xf numFmtId="4" fontId="0" fillId="0" borderId="0" xfId="0" applyNumberFormat="1" applyFill="1"/>
    <xf numFmtId="0" fontId="13" fillId="3" borderId="4" xfId="0" applyFont="1" applyFill="1" applyBorder="1"/>
    <xf numFmtId="0" fontId="17" fillId="0" borderId="0" xfId="0" applyFont="1"/>
    <xf numFmtId="49" fontId="13" fillId="0" borderId="0" xfId="0" applyNumberFormat="1" applyFont="1"/>
    <xf numFmtId="0" fontId="14" fillId="0" borderId="0" xfId="6"/>
    <xf numFmtId="0" fontId="22" fillId="0" borderId="0" xfId="4"/>
    <xf numFmtId="0" fontId="14" fillId="0" borderId="7" xfId="6" applyBorder="1" applyAlignment="1">
      <alignment horizontal="center"/>
    </xf>
    <xf numFmtId="0" fontId="14" fillId="0" borderId="7" xfId="6" applyBorder="1"/>
    <xf numFmtId="0" fontId="14" fillId="0" borderId="0" xfId="6" applyBorder="1"/>
    <xf numFmtId="0" fontId="19" fillId="0" borderId="8" xfId="6" applyFont="1" applyBorder="1" applyAlignment="1">
      <alignment horizontal="center"/>
    </xf>
    <xf numFmtId="0" fontId="19" fillId="0" borderId="8" xfId="6" applyFont="1" applyBorder="1"/>
    <xf numFmtId="0" fontId="20" fillId="0" borderId="9" xfId="6" applyFont="1" applyBorder="1" applyAlignment="1">
      <alignment horizontal="center"/>
    </xf>
    <xf numFmtId="0" fontId="19" fillId="0" borderId="4" xfId="6" applyFont="1" applyBorder="1"/>
    <xf numFmtId="0" fontId="20" fillId="0" borderId="10" xfId="6" applyFont="1" applyBorder="1" applyAlignment="1">
      <alignment horizontal="center"/>
    </xf>
    <xf numFmtId="0" fontId="19" fillId="0" borderId="0" xfId="6" applyFont="1"/>
    <xf numFmtId="0" fontId="19" fillId="0" borderId="0" xfId="6" applyFont="1" applyAlignment="1">
      <alignment horizontal="center"/>
    </xf>
    <xf numFmtId="166" fontId="19" fillId="0" borderId="11" xfId="6" applyNumberFormat="1" applyFont="1" applyBorder="1" applyAlignment="1">
      <alignment horizontal="center"/>
    </xf>
    <xf numFmtId="0" fontId="20" fillId="5" borderId="11" xfId="6" applyFont="1" applyFill="1" applyBorder="1"/>
    <xf numFmtId="0" fontId="20" fillId="5" borderId="12" xfId="6" applyFont="1" applyFill="1" applyBorder="1"/>
    <xf numFmtId="43" fontId="20" fillId="5" borderId="13" xfId="6" applyNumberFormat="1" applyFont="1" applyFill="1" applyBorder="1"/>
    <xf numFmtId="43" fontId="19" fillId="0" borderId="12" xfId="6" applyNumberFormat="1" applyFont="1" applyBorder="1"/>
    <xf numFmtId="43" fontId="19" fillId="0" borderId="13" xfId="6" applyNumberFormat="1" applyFont="1" applyBorder="1"/>
    <xf numFmtId="43" fontId="19" fillId="0" borderId="11" xfId="6" applyNumberFormat="1" applyFont="1" applyBorder="1"/>
    <xf numFmtId="43" fontId="19" fillId="0" borderId="0" xfId="6" applyNumberFormat="1" applyFont="1" applyAlignment="1">
      <alignment horizontal="center"/>
    </xf>
    <xf numFmtId="43" fontId="22" fillId="0" borderId="0" xfId="4" applyNumberFormat="1" applyBorder="1"/>
    <xf numFmtId="4" fontId="22" fillId="0" borderId="0" xfId="4" applyNumberFormat="1"/>
    <xf numFmtId="43" fontId="19" fillId="0" borderId="0" xfId="6" applyNumberFormat="1" applyFont="1" applyBorder="1"/>
    <xf numFmtId="43" fontId="19" fillId="0" borderId="0" xfId="6" applyNumberFormat="1" applyFont="1"/>
    <xf numFmtId="16" fontId="19" fillId="0" borderId="14" xfId="6" applyNumberFormat="1" applyFont="1" applyBorder="1" applyAlignment="1">
      <alignment horizontal="center"/>
    </xf>
    <xf numFmtId="16" fontId="19" fillId="0" borderId="0" xfId="6" applyNumberFormat="1" applyFont="1" applyBorder="1" applyAlignment="1">
      <alignment horizontal="center"/>
    </xf>
    <xf numFmtId="0" fontId="20" fillId="0" borderId="2" xfId="6" applyFont="1" applyBorder="1"/>
    <xf numFmtId="0" fontId="20" fillId="0" borderId="3" xfId="6" applyFont="1" applyBorder="1"/>
    <xf numFmtId="43" fontId="20" fillId="0" borderId="4" xfId="6" applyNumberFormat="1" applyFont="1" applyBorder="1"/>
    <xf numFmtId="43" fontId="20" fillId="0" borderId="0" xfId="6" applyNumberFormat="1" applyFont="1" applyBorder="1"/>
    <xf numFmtId="0" fontId="20" fillId="8" borderId="2" xfId="6" applyFont="1" applyFill="1" applyBorder="1"/>
    <xf numFmtId="0" fontId="20" fillId="8" borderId="3" xfId="6" applyFont="1" applyFill="1" applyBorder="1"/>
    <xf numFmtId="4" fontId="20" fillId="8" borderId="3" xfId="6" applyNumberFormat="1" applyFont="1" applyFill="1" applyBorder="1"/>
    <xf numFmtId="0" fontId="20" fillId="8" borderId="5" xfId="6" applyFont="1" applyFill="1" applyBorder="1"/>
    <xf numFmtId="0" fontId="20" fillId="8" borderId="0" xfId="6" applyFont="1" applyFill="1" applyBorder="1"/>
    <xf numFmtId="4" fontId="20" fillId="8" borderId="0" xfId="6" applyNumberFormat="1" applyFont="1" applyFill="1" applyBorder="1"/>
    <xf numFmtId="43" fontId="24" fillId="0" borderId="0" xfId="4" applyNumberFormat="1" applyFont="1"/>
    <xf numFmtId="43" fontId="19" fillId="0" borderId="3" xfId="6" applyNumberFormat="1" applyFont="1" applyBorder="1"/>
    <xf numFmtId="167" fontId="19" fillId="0" borderId="0" xfId="6" applyNumberFormat="1" applyFont="1" applyBorder="1" applyAlignment="1">
      <alignment horizontal="center"/>
    </xf>
    <xf numFmtId="4" fontId="25" fillId="8" borderId="0" xfId="4" applyNumberFormat="1" applyFont="1" applyFill="1"/>
    <xf numFmtId="164" fontId="19" fillId="0" borderId="0" xfId="6" applyNumberFormat="1" applyFont="1" applyBorder="1"/>
    <xf numFmtId="0" fontId="19" fillId="0" borderId="0" xfId="6" applyFont="1" applyBorder="1" applyAlignment="1">
      <alignment horizontal="center"/>
    </xf>
    <xf numFmtId="0" fontId="20" fillId="8" borderId="6" xfId="6" applyFont="1" applyFill="1" applyBorder="1"/>
    <xf numFmtId="0" fontId="20" fillId="8" borderId="7" xfId="6" applyFont="1" applyFill="1" applyBorder="1"/>
    <xf numFmtId="4" fontId="20" fillId="8" borderId="7" xfId="6" applyNumberFormat="1" applyFont="1" applyFill="1" applyBorder="1"/>
    <xf numFmtId="0" fontId="24" fillId="0" borderId="0" xfId="4" applyFont="1"/>
    <xf numFmtId="4" fontId="24" fillId="0" borderId="0" xfId="4" applyNumberFormat="1" applyFont="1"/>
    <xf numFmtId="43" fontId="25" fillId="0" borderId="0" xfId="4" applyNumberFormat="1" applyFont="1" applyBorder="1"/>
    <xf numFmtId="168" fontId="19" fillId="0" borderId="0" xfId="6" applyNumberFormat="1" applyFont="1" applyAlignment="1">
      <alignment horizontal="center"/>
    </xf>
    <xf numFmtId="0" fontId="20" fillId="9" borderId="10" xfId="6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wrapText="1"/>
    </xf>
    <xf numFmtId="0" fontId="13" fillId="10" borderId="1" xfId="0" applyFont="1" applyFill="1" applyBorder="1" applyAlignment="1">
      <alignment wrapText="1"/>
    </xf>
    <xf numFmtId="0" fontId="20" fillId="0" borderId="15" xfId="6" applyFont="1" applyBorder="1" applyAlignment="1">
      <alignment horizontal="center" vertical="center"/>
    </xf>
    <xf numFmtId="0" fontId="20" fillId="0" borderId="1" xfId="6" applyFont="1" applyBorder="1" applyAlignment="1">
      <alignment horizontal="center" vertical="center"/>
    </xf>
    <xf numFmtId="0" fontId="20" fillId="0" borderId="1" xfId="6" applyFont="1" applyBorder="1" applyAlignment="1">
      <alignment horizontal="center" vertical="center" wrapText="1"/>
    </xf>
    <xf numFmtId="0" fontId="20" fillId="0" borderId="14" xfId="6" applyFont="1" applyBorder="1" applyAlignment="1">
      <alignment horizontal="center" vertical="center"/>
    </xf>
    <xf numFmtId="0" fontId="20" fillId="0" borderId="16" xfId="6" applyFont="1" applyBorder="1" applyAlignment="1">
      <alignment horizontal="center" vertical="center"/>
    </xf>
    <xf numFmtId="0" fontId="20" fillId="0" borderId="17" xfId="6" applyFont="1" applyBorder="1" applyAlignment="1">
      <alignment horizontal="center" vertical="center"/>
    </xf>
    <xf numFmtId="0" fontId="20" fillId="0" borderId="18" xfId="6" applyFont="1" applyBorder="1" applyAlignment="1">
      <alignment horizontal="center" vertical="center"/>
    </xf>
    <xf numFmtId="0" fontId="20" fillId="0" borderId="14" xfId="6" applyFont="1" applyBorder="1" applyAlignment="1">
      <alignment horizontal="center" vertical="center" wrapText="1"/>
    </xf>
    <xf numFmtId="0" fontId="20" fillId="0" borderId="16" xfId="6" applyFont="1" applyBorder="1" applyAlignment="1">
      <alignment horizontal="center" vertical="center" wrapText="1"/>
    </xf>
    <xf numFmtId="0" fontId="20" fillId="0" borderId="17" xfId="6" applyFont="1" applyBorder="1" applyAlignment="1">
      <alignment horizontal="center" vertical="center" wrapText="1"/>
    </xf>
    <xf numFmtId="0" fontId="20" fillId="0" borderId="15" xfId="6" applyFont="1" applyBorder="1" applyAlignment="1">
      <alignment horizontal="center" vertical="center" wrapText="1"/>
    </xf>
    <xf numFmtId="0" fontId="20" fillId="0" borderId="18" xfId="6" applyFont="1" applyBorder="1" applyAlignment="1">
      <alignment horizontal="center" vertical="center" wrapText="1"/>
    </xf>
    <xf numFmtId="43" fontId="24" fillId="0" borderId="0" xfId="1" applyFont="1"/>
    <xf numFmtId="2" fontId="0" fillId="0" borderId="0" xfId="0" applyNumberFormat="1"/>
    <xf numFmtId="168" fontId="22" fillId="0" borderId="0" xfId="4" applyNumberFormat="1"/>
    <xf numFmtId="43" fontId="28" fillId="0" borderId="0" xfId="4" applyNumberFormat="1" applyFont="1"/>
    <xf numFmtId="168" fontId="20" fillId="0" borderId="18" xfId="6" applyNumberFormat="1" applyFont="1" applyBorder="1"/>
    <xf numFmtId="0" fontId="19" fillId="0" borderId="0" xfId="6" applyFont="1" applyBorder="1"/>
    <xf numFmtId="0" fontId="19" fillId="0" borderId="19" xfId="6" applyFont="1" applyBorder="1"/>
    <xf numFmtId="43" fontId="25" fillId="0" borderId="20" xfId="4" applyNumberFormat="1" applyFont="1" applyBorder="1"/>
    <xf numFmtId="43" fontId="24" fillId="0" borderId="3" xfId="4" applyNumberFormat="1" applyFont="1" applyBorder="1"/>
    <xf numFmtId="0" fontId="12" fillId="0" borderId="0" xfId="0" applyFont="1"/>
    <xf numFmtId="0" fontId="23" fillId="0" borderId="0" xfId="4" applyFont="1"/>
    <xf numFmtId="4" fontId="20" fillId="0" borderId="5" xfId="6" applyNumberFormat="1" applyFont="1" applyFill="1" applyBorder="1"/>
    <xf numFmtId="43" fontId="19" fillId="0" borderId="0" xfId="6" applyNumberFormat="1" applyFont="1" applyBorder="1" applyAlignment="1">
      <alignment horizontal="left"/>
    </xf>
    <xf numFmtId="0" fontId="22" fillId="0" borderId="0" xfId="4" applyAlignment="1">
      <alignment horizontal="left"/>
    </xf>
    <xf numFmtId="168" fontId="24" fillId="0" borderId="0" xfId="4" applyNumberFormat="1" applyFont="1"/>
    <xf numFmtId="43" fontId="19" fillId="0" borderId="0" xfId="0" applyNumberFormat="1" applyFont="1"/>
    <xf numFmtId="0" fontId="20" fillId="0" borderId="1" xfId="6" applyFont="1" applyFill="1" applyBorder="1"/>
    <xf numFmtId="0" fontId="20" fillId="0" borderId="18" xfId="6" applyFont="1" applyFill="1" applyBorder="1"/>
    <xf numFmtId="168" fontId="20" fillId="0" borderId="15" xfId="6" applyNumberFormat="1" applyFont="1" applyFill="1" applyBorder="1"/>
    <xf numFmtId="0" fontId="19" fillId="0" borderId="11" xfId="6" applyFont="1" applyFill="1" applyBorder="1"/>
    <xf numFmtId="0" fontId="19" fillId="0" borderId="12" xfId="6" applyFont="1" applyFill="1" applyBorder="1"/>
    <xf numFmtId="43" fontId="19" fillId="0" borderId="13" xfId="6" applyNumberFormat="1" applyFont="1" applyFill="1" applyBorder="1"/>
    <xf numFmtId="169" fontId="26" fillId="0" borderId="0" xfId="1" applyNumberFormat="1" applyFont="1"/>
    <xf numFmtId="1" fontId="26" fillId="0" borderId="0" xfId="1" applyNumberFormat="1" applyFont="1"/>
    <xf numFmtId="169" fontId="29" fillId="0" borderId="21" xfId="1" applyNumberFormat="1" applyFont="1" applyBorder="1"/>
    <xf numFmtId="0" fontId="27" fillId="0" borderId="0" xfId="0" applyFont="1"/>
    <xf numFmtId="0" fontId="26" fillId="0" borderId="0" xfId="0" applyFont="1" applyAlignment="1">
      <alignment vertical="top" wrapText="1"/>
    </xf>
    <xf numFmtId="169" fontId="26" fillId="0" borderId="0" xfId="1" applyNumberFormat="1" applyFont="1" applyAlignment="1">
      <alignment vertical="top"/>
    </xf>
    <xf numFmtId="14" fontId="13" fillId="10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4" fontId="30" fillId="0" borderId="0" xfId="6" applyNumberFormat="1" applyFont="1" applyBorder="1"/>
    <xf numFmtId="0" fontId="31" fillId="0" borderId="5" xfId="0" applyFont="1" applyFill="1" applyBorder="1" applyAlignment="1"/>
    <xf numFmtId="0" fontId="31" fillId="0" borderId="0" xfId="0" applyFont="1" applyBorder="1"/>
    <xf numFmtId="4" fontId="31" fillId="0" borderId="0" xfId="0" applyNumberFormat="1" applyFont="1" applyBorder="1"/>
    <xf numFmtId="4" fontId="32" fillId="0" borderId="4" xfId="1" applyNumberFormat="1" applyFont="1" applyBorder="1"/>
    <xf numFmtId="0" fontId="33" fillId="0" borderId="0" xfId="0" applyFont="1" applyFill="1" applyBorder="1" applyAlignment="1">
      <alignment vertical="top" wrapText="1"/>
    </xf>
    <xf numFmtId="0" fontId="32" fillId="0" borderId="1" xfId="0" applyFont="1" applyBorder="1"/>
    <xf numFmtId="4" fontId="30" fillId="0" borderId="0" xfId="0" applyNumberFormat="1" applyFont="1" applyBorder="1"/>
    <xf numFmtId="4" fontId="32" fillId="0" borderId="13" xfId="0" applyNumberFormat="1" applyFont="1" applyBorder="1"/>
    <xf numFmtId="0" fontId="31" fillId="0" borderId="1" xfId="0" applyFont="1" applyBorder="1"/>
    <xf numFmtId="4" fontId="31" fillId="0" borderId="1" xfId="0" applyNumberFormat="1" applyFont="1" applyBorder="1"/>
    <xf numFmtId="4" fontId="31" fillId="0" borderId="1" xfId="1" applyNumberFormat="1" applyFont="1" applyBorder="1"/>
    <xf numFmtId="2" fontId="32" fillId="0" borderId="13" xfId="0" applyNumberFormat="1" applyFont="1" applyBorder="1"/>
    <xf numFmtId="4" fontId="30" fillId="0" borderId="0" xfId="1" applyNumberFormat="1" applyFont="1" applyBorder="1"/>
    <xf numFmtId="0" fontId="31" fillId="0" borderId="5" xfId="0" applyFont="1" applyBorder="1"/>
    <xf numFmtId="0" fontId="31" fillId="0" borderId="0" xfId="0" applyFont="1"/>
    <xf numFmtId="4" fontId="32" fillId="0" borderId="4" xfId="0" applyNumberFormat="1" applyFont="1" applyBorder="1"/>
    <xf numFmtId="4" fontId="31" fillId="0" borderId="13" xfId="0" applyNumberFormat="1" applyFont="1" applyBorder="1"/>
    <xf numFmtId="0" fontId="32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top" wrapText="1"/>
    </xf>
    <xf numFmtId="4" fontId="32" fillId="0" borderId="1" xfId="0" applyNumberFormat="1" applyFont="1" applyBorder="1"/>
    <xf numFmtId="0" fontId="35" fillId="0" borderId="0" xfId="0" applyNumberFormat="1" applyFont="1" applyFill="1" applyBorder="1" applyAlignment="1">
      <alignment vertical="top" wrapText="1"/>
    </xf>
    <xf numFmtId="0" fontId="31" fillId="0" borderId="6" xfId="0" applyFont="1" applyBorder="1"/>
    <xf numFmtId="0" fontId="31" fillId="0" borderId="7" xfId="0" applyFont="1" applyBorder="1"/>
    <xf numFmtId="4" fontId="31" fillId="0" borderId="7" xfId="0" applyNumberFormat="1" applyFont="1" applyBorder="1"/>
    <xf numFmtId="4" fontId="32" fillId="0" borderId="17" xfId="0" applyNumberFormat="1" applyFont="1" applyBorder="1"/>
    <xf numFmtId="4" fontId="30" fillId="0" borderId="0" xfId="1" applyNumberFormat="1" applyFont="1" applyFill="1" applyBorder="1"/>
    <xf numFmtId="4" fontId="32" fillId="0" borderId="0" xfId="1" applyNumberFormat="1" applyFont="1" applyBorder="1"/>
    <xf numFmtId="0" fontId="36" fillId="0" borderId="0" xfId="0" applyFont="1" applyFill="1" applyBorder="1" applyAlignment="1">
      <alignment vertical="top" wrapText="1"/>
    </xf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4" fontId="37" fillId="0" borderId="3" xfId="5" applyNumberFormat="1" applyFont="1" applyBorder="1" applyAlignment="1">
      <alignment vertical="center"/>
    </xf>
    <xf numFmtId="4" fontId="31" fillId="0" borderId="1" xfId="0" applyNumberFormat="1" applyFont="1" applyBorder="1" applyAlignment="1">
      <alignment horizontal="right" vertical="center"/>
    </xf>
    <xf numFmtId="4" fontId="32" fillId="0" borderId="1" xfId="0" applyNumberFormat="1" applyFont="1" applyBorder="1" applyAlignment="1">
      <alignment horizontal="right" vertical="center"/>
    </xf>
    <xf numFmtId="168" fontId="38" fillId="0" borderId="18" xfId="6" applyNumberFormat="1" applyFont="1" applyBorder="1"/>
    <xf numFmtId="44" fontId="37" fillId="0" borderId="15" xfId="1" applyNumberFormat="1" applyFont="1" applyBorder="1"/>
    <xf numFmtId="43" fontId="19" fillId="0" borderId="7" xfId="6" applyNumberFormat="1" applyFont="1" applyBorder="1"/>
    <xf numFmtId="4" fontId="31" fillId="15" borderId="13" xfId="0" applyNumberFormat="1" applyFont="1" applyFill="1" applyBorder="1"/>
    <xf numFmtId="44" fontId="30" fillId="15" borderId="13" xfId="0" applyNumberFormat="1" applyFont="1" applyFill="1" applyBorder="1"/>
    <xf numFmtId="44" fontId="30" fillId="15" borderId="13" xfId="1" applyNumberFormat="1" applyFont="1" applyFill="1" applyBorder="1"/>
    <xf numFmtId="4" fontId="30" fillId="15" borderId="13" xfId="1" applyNumberFormat="1" applyFont="1" applyFill="1" applyBorder="1"/>
    <xf numFmtId="0" fontId="11" fillId="0" borderId="0" xfId="4" applyFont="1"/>
    <xf numFmtId="0" fontId="11" fillId="20" borderId="0" xfId="4" applyFont="1" applyFill="1"/>
    <xf numFmtId="0" fontId="22" fillId="20" borderId="0" xfId="4" applyFill="1"/>
    <xf numFmtId="0" fontId="39" fillId="0" borderId="0" xfId="7" applyFont="1" applyAlignment="1">
      <alignment horizontal="center" vertical="center"/>
    </xf>
    <xf numFmtId="0" fontId="40" fillId="0" borderId="0" xfId="7" applyFont="1" applyAlignment="1">
      <alignment horizontal="center" vertical="center" textRotation="90" wrapText="1"/>
    </xf>
    <xf numFmtId="0" fontId="40" fillId="0" borderId="0" xfId="7" applyFont="1" applyAlignment="1">
      <alignment horizontal="center" vertical="center"/>
    </xf>
    <xf numFmtId="0" fontId="39" fillId="0" borderId="0" xfId="7" applyFont="1" applyAlignment="1">
      <alignment horizontal="center" wrapText="1"/>
    </xf>
    <xf numFmtId="0" fontId="39" fillId="0" borderId="0" xfId="7" applyFont="1" applyAlignment="1">
      <alignment horizontal="center"/>
    </xf>
    <xf numFmtId="0" fontId="40" fillId="0" borderId="0" xfId="7" applyFont="1" applyAlignment="1">
      <alignment horizontal="center"/>
    </xf>
    <xf numFmtId="0" fontId="41" fillId="0" borderId="0" xfId="0" applyFont="1"/>
    <xf numFmtId="0" fontId="40" fillId="0" borderId="0" xfId="7" applyFont="1" applyAlignment="1">
      <alignment wrapText="1"/>
    </xf>
    <xf numFmtId="0" fontId="42" fillId="16" borderId="0" xfId="7" applyFont="1" applyFill="1" applyAlignment="1">
      <alignment horizontal="center" vertical="center" wrapText="1"/>
    </xf>
    <xf numFmtId="0" fontId="42" fillId="16" borderId="0" xfId="7" applyFont="1" applyFill="1" applyBorder="1" applyAlignment="1">
      <alignment horizontal="center" vertical="center" wrapText="1"/>
    </xf>
    <xf numFmtId="0" fontId="39" fillId="17" borderId="0" xfId="7" applyFont="1" applyFill="1" applyBorder="1" applyAlignment="1">
      <alignment horizontal="center" vertical="center" wrapText="1"/>
    </xf>
    <xf numFmtId="0" fontId="42" fillId="16" borderId="0" xfId="7" applyFont="1" applyFill="1" applyBorder="1" applyAlignment="1">
      <alignment horizontal="center" vertical="center"/>
    </xf>
    <xf numFmtId="169" fontId="40" fillId="0" borderId="24" xfId="1" applyNumberFormat="1" applyFont="1" applyBorder="1" applyAlignment="1">
      <alignment vertical="top"/>
    </xf>
    <xf numFmtId="0" fontId="41" fillId="0" borderId="0" xfId="7" applyFont="1" applyAlignment="1">
      <alignment horizontal="left"/>
    </xf>
    <xf numFmtId="0" fontId="39" fillId="0" borderId="0" xfId="7" applyFont="1"/>
    <xf numFmtId="0" fontId="40" fillId="0" borderId="0" xfId="7" applyFont="1"/>
    <xf numFmtId="0" fontId="40" fillId="0" borderId="0" xfId="7" applyFont="1" applyFill="1"/>
    <xf numFmtId="0" fontId="40" fillId="0" borderId="0" xfId="7" applyFont="1" applyAlignment="1">
      <alignment vertical="top"/>
    </xf>
    <xf numFmtId="3" fontId="40" fillId="0" borderId="24" xfId="7" applyNumberFormat="1" applyFont="1" applyBorder="1" applyAlignment="1">
      <alignment vertical="top"/>
    </xf>
    <xf numFmtId="3" fontId="40" fillId="0" borderId="24" xfId="7" applyNumberFormat="1" applyFont="1" applyFill="1" applyBorder="1" applyAlignment="1">
      <alignment vertical="top"/>
    </xf>
    <xf numFmtId="169" fontId="41" fillId="0" borderId="24" xfId="1" applyNumberFormat="1" applyFont="1" applyBorder="1" applyAlignment="1">
      <alignment vertical="top"/>
    </xf>
    <xf numFmtId="0" fontId="41" fillId="0" borderId="24" xfId="7" applyFont="1" applyFill="1" applyBorder="1" applyAlignment="1">
      <alignment horizontal="left" vertical="top" wrapText="1"/>
    </xf>
    <xf numFmtId="0" fontId="41" fillId="0" borderId="24" xfId="7" applyFont="1" applyBorder="1" applyAlignment="1">
      <alignment horizontal="left" vertical="top" wrapText="1"/>
    </xf>
    <xf numFmtId="0" fontId="41" fillId="0" borderId="25" xfId="7" applyFont="1" applyBorder="1" applyAlignment="1">
      <alignment horizontal="right" vertical="top" wrapText="1"/>
    </xf>
    <xf numFmtId="3" fontId="40" fillId="0" borderId="25" xfId="7" applyNumberFormat="1" applyFont="1" applyBorder="1" applyAlignment="1">
      <alignment vertical="top"/>
    </xf>
    <xf numFmtId="3" fontId="40" fillId="0" borderId="25" xfId="7" applyNumberFormat="1" applyFont="1" applyFill="1" applyBorder="1" applyAlignment="1">
      <alignment vertical="top"/>
    </xf>
    <xf numFmtId="169" fontId="40" fillId="0" borderId="25" xfId="1" applyNumberFormat="1" applyFont="1" applyBorder="1" applyAlignment="1">
      <alignment vertical="top"/>
    </xf>
    <xf numFmtId="169" fontId="41" fillId="0" borderId="25" xfId="1" applyNumberFormat="1" applyFont="1" applyBorder="1" applyAlignment="1">
      <alignment vertical="top"/>
    </xf>
    <xf numFmtId="3" fontId="38" fillId="0" borderId="26" xfId="7" applyNumberFormat="1" applyFont="1" applyFill="1" applyBorder="1" applyAlignment="1">
      <alignment vertical="top"/>
    </xf>
    <xf numFmtId="3" fontId="38" fillId="0" borderId="24" xfId="7" applyNumberFormat="1" applyFont="1" applyFill="1" applyBorder="1" applyAlignment="1">
      <alignment horizontal="left" vertical="top"/>
    </xf>
    <xf numFmtId="0" fontId="39" fillId="11" borderId="0" xfId="7" applyFont="1" applyFill="1" applyAlignment="1">
      <alignment vertical="top"/>
    </xf>
    <xf numFmtId="0" fontId="41" fillId="0" borderId="24" xfId="7" applyFont="1" applyBorder="1" applyAlignment="1">
      <alignment horizontal="right" vertical="top"/>
    </xf>
    <xf numFmtId="0" fontId="38" fillId="0" borderId="24" xfId="7" applyFont="1" applyBorder="1" applyAlignment="1">
      <alignment horizontal="right" vertical="top"/>
    </xf>
    <xf numFmtId="3" fontId="38" fillId="0" borderId="24" xfId="7" applyNumberFormat="1" applyFont="1" applyFill="1" applyBorder="1" applyAlignment="1">
      <alignment vertical="top"/>
    </xf>
    <xf numFmtId="0" fontId="38" fillId="19" borderId="24" xfId="7" applyFont="1" applyFill="1" applyBorder="1" applyAlignment="1">
      <alignment horizontal="right" vertical="top"/>
    </xf>
    <xf numFmtId="3" fontId="38" fillId="19" borderId="24" xfId="7" applyNumberFormat="1" applyFont="1" applyFill="1" applyBorder="1" applyAlignment="1">
      <alignment vertical="top"/>
    </xf>
    <xf numFmtId="169" fontId="40" fillId="19" borderId="24" xfId="1" applyNumberFormat="1" applyFont="1" applyFill="1" applyBorder="1" applyAlignment="1">
      <alignment vertical="top"/>
    </xf>
    <xf numFmtId="169" fontId="41" fillId="19" borderId="24" xfId="1" applyNumberFormat="1" applyFont="1" applyFill="1" applyBorder="1" applyAlignment="1">
      <alignment vertical="top"/>
    </xf>
    <xf numFmtId="0" fontId="40" fillId="0" borderId="24" xfId="7" applyFont="1" applyBorder="1" applyAlignment="1">
      <alignment vertical="top"/>
    </xf>
    <xf numFmtId="3" fontId="38" fillId="0" borderId="26" xfId="7" applyNumberFormat="1" applyFont="1" applyBorder="1" applyAlignment="1">
      <alignment vertical="top"/>
    </xf>
    <xf numFmtId="0" fontId="38" fillId="0" borderId="24" xfId="7" applyFont="1" applyFill="1" applyBorder="1" applyAlignment="1">
      <alignment horizontal="right" vertical="top"/>
    </xf>
    <xf numFmtId="3" fontId="39" fillId="0" borderId="26" xfId="7" applyNumberFormat="1" applyFont="1" applyBorder="1" applyAlignment="1">
      <alignment vertical="top"/>
    </xf>
    <xf numFmtId="3" fontId="39" fillId="0" borderId="26" xfId="7" applyNumberFormat="1" applyFont="1" applyFill="1" applyBorder="1" applyAlignment="1">
      <alignment vertical="top"/>
    </xf>
    <xf numFmtId="169" fontId="40" fillId="0" borderId="27" xfId="1" applyNumberFormat="1" applyFont="1" applyBorder="1" applyAlignment="1">
      <alignment vertical="top"/>
    </xf>
    <xf numFmtId="169" fontId="41" fillId="0" borderId="27" xfId="1" applyNumberFormat="1" applyFont="1" applyBorder="1" applyAlignment="1">
      <alignment vertical="top"/>
    </xf>
    <xf numFmtId="3" fontId="39" fillId="0" borderId="28" xfId="7" applyNumberFormat="1" applyFont="1" applyBorder="1" applyAlignment="1">
      <alignment vertical="top"/>
    </xf>
    <xf numFmtId="0" fontId="39" fillId="12" borderId="0" xfId="7" applyFont="1" applyFill="1" applyAlignment="1">
      <alignment vertical="top"/>
    </xf>
    <xf numFmtId="0" fontId="38" fillId="0" borderId="26" xfId="7" applyFont="1" applyBorder="1" applyAlignment="1">
      <alignment vertical="top"/>
    </xf>
    <xf numFmtId="169" fontId="40" fillId="0" borderId="26" xfId="1" applyNumberFormat="1" applyFont="1" applyBorder="1" applyAlignment="1">
      <alignment vertical="top"/>
    </xf>
    <xf numFmtId="169" fontId="41" fillId="0" borderId="26" xfId="1" applyNumberFormat="1" applyFont="1" applyBorder="1" applyAlignment="1">
      <alignment vertical="top"/>
    </xf>
    <xf numFmtId="0" fontId="39" fillId="0" borderId="24" xfId="7" applyFont="1" applyBorder="1" applyAlignment="1">
      <alignment vertical="top"/>
    </xf>
    <xf numFmtId="0" fontId="39" fillId="0" borderId="24" xfId="7" applyFont="1" applyFill="1" applyBorder="1" applyAlignment="1">
      <alignment horizontal="center" vertical="top"/>
    </xf>
    <xf numFmtId="169" fontId="39" fillId="0" borderId="24" xfId="1" applyNumberFormat="1" applyFont="1" applyBorder="1" applyAlignment="1">
      <alignment vertical="top"/>
    </xf>
    <xf numFmtId="169" fontId="38" fillId="0" borderId="24" xfId="1" applyNumberFormat="1" applyFont="1" applyBorder="1" applyAlignment="1">
      <alignment vertical="top"/>
    </xf>
    <xf numFmtId="169" fontId="40" fillId="0" borderId="24" xfId="1" applyNumberFormat="1" applyFont="1" applyBorder="1" applyAlignment="1">
      <alignment horizontal="right" vertical="top"/>
    </xf>
    <xf numFmtId="41" fontId="40" fillId="0" borderId="24" xfId="7" applyNumberFormat="1" applyFont="1" applyFill="1" applyBorder="1" applyAlignment="1">
      <alignment vertical="top"/>
    </xf>
    <xf numFmtId="4" fontId="39" fillId="11" borderId="0" xfId="7" applyNumberFormat="1" applyFont="1" applyFill="1" applyAlignment="1">
      <alignment horizontal="left" vertical="top"/>
    </xf>
    <xf numFmtId="0" fontId="40" fillId="0" borderId="24" xfId="7" applyFont="1" applyFill="1" applyBorder="1" applyAlignment="1">
      <alignment vertical="top"/>
    </xf>
    <xf numFmtId="169" fontId="41" fillId="0" borderId="24" xfId="1" applyNumberFormat="1" applyFont="1" applyBorder="1" applyAlignment="1">
      <alignment horizontal="right" vertical="top"/>
    </xf>
    <xf numFmtId="0" fontId="43" fillId="0" borderId="0" xfId="7" applyFont="1" applyAlignment="1">
      <alignment horizontal="right" vertical="top" wrapText="1"/>
    </xf>
    <xf numFmtId="169" fontId="43" fillId="0" borderId="0" xfId="1" applyNumberFormat="1" applyFont="1" applyBorder="1" applyAlignment="1">
      <alignment horizontal="right" vertical="top"/>
    </xf>
    <xf numFmtId="0" fontId="41" fillId="0" borderId="0" xfId="7" applyFont="1" applyBorder="1" applyAlignment="1">
      <alignment horizontal="left" vertical="top" wrapText="1"/>
    </xf>
    <xf numFmtId="41" fontId="39" fillId="0" borderId="0" xfId="7" applyNumberFormat="1" applyFont="1"/>
    <xf numFmtId="0" fontId="41" fillId="0" borderId="29" xfId="7" applyFont="1" applyBorder="1" applyAlignment="1">
      <alignment horizontal="right" vertical="top" wrapText="1"/>
    </xf>
    <xf numFmtId="0" fontId="41" fillId="0" borderId="30" xfId="7" applyFont="1" applyBorder="1" applyAlignment="1">
      <alignment horizontal="right" vertical="top" wrapText="1"/>
    </xf>
    <xf numFmtId="0" fontId="43" fillId="20" borderId="31" xfId="7" applyFont="1" applyFill="1" applyBorder="1" applyAlignment="1">
      <alignment horizontal="right" vertical="top" wrapText="1"/>
    </xf>
    <xf numFmtId="0" fontId="40" fillId="0" borderId="29" xfId="7" applyFont="1" applyBorder="1" applyAlignment="1">
      <alignment vertical="top" wrapText="1"/>
    </xf>
    <xf numFmtId="0" fontId="40" fillId="0" borderId="29" xfId="7" applyFont="1" applyBorder="1" applyAlignment="1">
      <alignment horizontal="right" vertical="top" wrapText="1"/>
    </xf>
    <xf numFmtId="0" fontId="38" fillId="0" borderId="29" xfId="7" applyFont="1" applyFill="1" applyBorder="1" applyAlignment="1">
      <alignment horizontal="right" vertical="top" wrapText="1"/>
    </xf>
    <xf numFmtId="0" fontId="40" fillId="0" borderId="30" xfId="7" applyFont="1" applyBorder="1" applyAlignment="1">
      <alignment horizontal="right" vertical="top" wrapText="1"/>
    </xf>
    <xf numFmtId="0" fontId="40" fillId="0" borderId="32" xfId="7" applyFont="1" applyBorder="1" applyAlignment="1">
      <alignment vertical="top" wrapText="1"/>
    </xf>
    <xf numFmtId="0" fontId="39" fillId="0" borderId="33" xfId="7" applyFont="1" applyBorder="1" applyAlignment="1">
      <alignment vertical="top" wrapText="1"/>
    </xf>
    <xf numFmtId="0" fontId="38" fillId="0" borderId="31" xfId="7" applyFont="1" applyBorder="1" applyAlignment="1">
      <alignment vertical="top" wrapText="1"/>
    </xf>
    <xf numFmtId="0" fontId="39" fillId="0" borderId="29" xfId="7" applyFont="1" applyBorder="1" applyAlignment="1">
      <alignment vertical="top" wrapText="1"/>
    </xf>
    <xf numFmtId="0" fontId="40" fillId="20" borderId="24" xfId="7" applyFont="1" applyFill="1" applyBorder="1" applyAlignment="1">
      <alignment horizontal="center" vertical="center"/>
    </xf>
    <xf numFmtId="0" fontId="40" fillId="0" borderId="24" xfId="7" applyFont="1" applyBorder="1" applyAlignment="1">
      <alignment horizontal="center" vertical="center"/>
    </xf>
    <xf numFmtId="0" fontId="39" fillId="12" borderId="24" xfId="7" applyFont="1" applyFill="1" applyBorder="1" applyAlignment="1">
      <alignment horizontal="center" vertical="center"/>
    </xf>
    <xf numFmtId="4" fontId="39" fillId="11" borderId="24" xfId="7" applyNumberFormat="1" applyFont="1" applyFill="1" applyBorder="1" applyAlignment="1">
      <alignment horizontal="center" vertical="center"/>
    </xf>
    <xf numFmtId="0" fontId="40" fillId="21" borderId="24" xfId="7" applyFont="1" applyFill="1" applyBorder="1" applyAlignment="1">
      <alignment horizontal="center" vertical="center"/>
    </xf>
    <xf numFmtId="0" fontId="43" fillId="21" borderId="31" xfId="7" applyFont="1" applyFill="1" applyBorder="1" applyAlignment="1">
      <alignment horizontal="right" vertical="top" wrapText="1"/>
    </xf>
    <xf numFmtId="0" fontId="40" fillId="22" borderId="24" xfId="7" applyFont="1" applyFill="1" applyBorder="1" applyAlignment="1">
      <alignment horizontal="center" vertical="center"/>
    </xf>
    <xf numFmtId="0" fontId="39" fillId="22" borderId="24" xfId="7" applyFont="1" applyFill="1" applyBorder="1" applyAlignment="1">
      <alignment horizontal="center" vertical="center"/>
    </xf>
    <xf numFmtId="0" fontId="43" fillId="22" borderId="31" xfId="7" applyFont="1" applyFill="1" applyBorder="1" applyAlignment="1">
      <alignment horizontal="right" vertical="top" wrapText="1"/>
    </xf>
    <xf numFmtId="0" fontId="40" fillId="12" borderId="24" xfId="7" applyFont="1" applyFill="1" applyBorder="1" applyAlignment="1">
      <alignment horizontal="center" vertical="center"/>
    </xf>
    <xf numFmtId="0" fontId="43" fillId="12" borderId="31" xfId="7" applyFont="1" applyFill="1" applyBorder="1" applyAlignment="1">
      <alignment horizontal="right" vertical="top" wrapText="1"/>
    </xf>
    <xf numFmtId="0" fontId="40" fillId="23" borderId="24" xfId="7" applyFont="1" applyFill="1" applyBorder="1" applyAlignment="1">
      <alignment horizontal="center" vertical="center"/>
    </xf>
    <xf numFmtId="0" fontId="43" fillId="23" borderId="31" xfId="7" applyFont="1" applyFill="1" applyBorder="1" applyAlignment="1">
      <alignment horizontal="right" vertical="top" wrapText="1"/>
    </xf>
    <xf numFmtId="0" fontId="40" fillId="24" borderId="24" xfId="7" applyFont="1" applyFill="1" applyBorder="1" applyAlignment="1">
      <alignment horizontal="center" vertical="center"/>
    </xf>
    <xf numFmtId="0" fontId="43" fillId="24" borderId="31" xfId="7" applyFont="1" applyFill="1" applyBorder="1" applyAlignment="1">
      <alignment horizontal="right" vertical="top" wrapText="1"/>
    </xf>
    <xf numFmtId="0" fontId="40" fillId="20" borderId="24" xfId="7" applyFont="1" applyFill="1" applyBorder="1" applyAlignment="1">
      <alignment horizontal="left" vertical="center"/>
    </xf>
    <xf numFmtId="0" fontId="43" fillId="20" borderId="31" xfId="7" applyFont="1" applyFill="1" applyBorder="1" applyAlignment="1">
      <alignment horizontal="left" vertical="top" wrapText="1"/>
    </xf>
    <xf numFmtId="0" fontId="41" fillId="18" borderId="29" xfId="7" applyFont="1" applyFill="1" applyBorder="1" applyAlignment="1">
      <alignment horizontal="left" vertical="top" wrapText="1"/>
    </xf>
    <xf numFmtId="0" fontId="41" fillId="0" borderId="29" xfId="7" applyFont="1" applyBorder="1" applyAlignment="1">
      <alignment horizontal="left" vertical="top" wrapText="1"/>
    </xf>
    <xf numFmtId="0" fontId="41" fillId="0" borderId="30" xfId="7" applyFont="1" applyBorder="1" applyAlignment="1">
      <alignment horizontal="left" vertical="top" wrapText="1"/>
    </xf>
    <xf numFmtId="0" fontId="43" fillId="21" borderId="31" xfId="7" applyFont="1" applyFill="1" applyBorder="1" applyAlignment="1">
      <alignment horizontal="left" vertical="top" wrapText="1"/>
    </xf>
    <xf numFmtId="0" fontId="40" fillId="0" borderId="29" xfId="7" applyFont="1" applyBorder="1" applyAlignment="1">
      <alignment horizontal="left" vertical="top" wrapText="1"/>
    </xf>
    <xf numFmtId="0" fontId="43" fillId="23" borderId="31" xfId="7" applyFont="1" applyFill="1" applyBorder="1" applyAlignment="1">
      <alignment horizontal="left" vertical="top" wrapText="1"/>
    </xf>
    <xf numFmtId="0" fontId="43" fillId="22" borderId="31" xfId="7" applyFont="1" applyFill="1" applyBorder="1" applyAlignment="1">
      <alignment horizontal="left" vertical="top" wrapText="1"/>
    </xf>
    <xf numFmtId="0" fontId="43" fillId="12" borderId="31" xfId="7" applyFont="1" applyFill="1" applyBorder="1" applyAlignment="1">
      <alignment horizontal="left" vertical="top" wrapText="1"/>
    </xf>
    <xf numFmtId="0" fontId="43" fillId="24" borderId="31" xfId="7" applyFont="1" applyFill="1" applyBorder="1" applyAlignment="1">
      <alignment horizontal="left" vertical="top" wrapText="1"/>
    </xf>
    <xf numFmtId="0" fontId="40" fillId="0" borderId="30" xfId="7" applyFont="1" applyBorder="1" applyAlignment="1">
      <alignment horizontal="left" vertical="top" wrapText="1"/>
    </xf>
    <xf numFmtId="0" fontId="40" fillId="15" borderId="24" xfId="7" applyFont="1" applyFill="1" applyBorder="1" applyAlignment="1">
      <alignment horizontal="center" vertical="center"/>
    </xf>
    <xf numFmtId="0" fontId="40" fillId="15" borderId="29" xfId="7" applyFont="1" applyFill="1" applyBorder="1" applyAlignment="1">
      <alignment horizontal="right" vertical="top" wrapText="1"/>
    </xf>
    <xf numFmtId="0" fontId="40" fillId="15" borderId="29" xfId="7" applyFont="1" applyFill="1" applyBorder="1" applyAlignment="1">
      <alignment horizontal="left" vertical="top" wrapText="1"/>
    </xf>
    <xf numFmtId="43" fontId="19" fillId="26" borderId="13" xfId="6" applyNumberFormat="1" applyFont="1" applyFill="1" applyBorder="1"/>
    <xf numFmtId="0" fontId="41" fillId="0" borderId="32" xfId="7" applyFont="1" applyBorder="1" applyAlignment="1">
      <alignment horizontal="left" vertical="top" wrapText="1"/>
    </xf>
    <xf numFmtId="169" fontId="41" fillId="25" borderId="24" xfId="1" applyNumberFormat="1" applyFont="1" applyFill="1" applyBorder="1" applyAlignment="1">
      <alignment vertical="top"/>
    </xf>
    <xf numFmtId="169" fontId="41" fillId="25" borderId="25" xfId="1" applyNumberFormat="1" applyFont="1" applyFill="1" applyBorder="1" applyAlignment="1">
      <alignment vertical="top"/>
    </xf>
    <xf numFmtId="3" fontId="38" fillId="25" borderId="26" xfId="7" applyNumberFormat="1" applyFont="1" applyFill="1" applyBorder="1" applyAlignment="1">
      <alignment vertical="top"/>
    </xf>
    <xf numFmtId="41" fontId="38" fillId="25" borderId="26" xfId="7" applyNumberFormat="1" applyFont="1" applyFill="1" applyBorder="1" applyAlignment="1">
      <alignment vertical="top"/>
    </xf>
    <xf numFmtId="169" fontId="41" fillId="25" borderId="27" xfId="1" applyNumberFormat="1" applyFont="1" applyFill="1" applyBorder="1" applyAlignment="1">
      <alignment vertical="top"/>
    </xf>
    <xf numFmtId="3" fontId="39" fillId="25" borderId="28" xfId="7" applyNumberFormat="1" applyFont="1" applyFill="1" applyBorder="1" applyAlignment="1">
      <alignment vertical="top"/>
    </xf>
    <xf numFmtId="0" fontId="10" fillId="0" borderId="0" xfId="4" applyFont="1"/>
    <xf numFmtId="0" fontId="9" fillId="0" borderId="0" xfId="4" applyFont="1"/>
    <xf numFmtId="0" fontId="8" fillId="0" borderId="0" xfId="4" applyFont="1"/>
    <xf numFmtId="0" fontId="7" fillId="0" borderId="0" xfId="4" applyFont="1"/>
    <xf numFmtId="0" fontId="41" fillId="0" borderId="32" xfId="7" applyFont="1" applyBorder="1" applyAlignment="1">
      <alignment horizontal="right" vertical="top" wrapText="1"/>
    </xf>
    <xf numFmtId="0" fontId="40" fillId="21" borderId="26" xfId="7" applyFont="1" applyFill="1" applyBorder="1" applyAlignment="1">
      <alignment horizontal="center" vertical="center"/>
    </xf>
    <xf numFmtId="0" fontId="40" fillId="21" borderId="25" xfId="7" applyFont="1" applyFill="1" applyBorder="1" applyAlignment="1">
      <alignment horizontal="center" vertical="center"/>
    </xf>
    <xf numFmtId="0" fontId="41" fillId="0" borderId="25" xfId="7" applyFont="1" applyBorder="1" applyAlignment="1">
      <alignment horizontal="right" vertical="top"/>
    </xf>
    <xf numFmtId="0" fontId="41" fillId="0" borderId="25" xfId="7" applyFont="1" applyBorder="1" applyAlignment="1">
      <alignment horizontal="left" vertical="top" wrapText="1"/>
    </xf>
    <xf numFmtId="3" fontId="40" fillId="0" borderId="27" xfId="7" applyNumberFormat="1" applyFont="1" applyBorder="1" applyAlignment="1">
      <alignment vertical="top"/>
    </xf>
    <xf numFmtId="3" fontId="40" fillId="0" borderId="27" xfId="7" applyNumberFormat="1" applyFont="1" applyFill="1" applyBorder="1" applyAlignment="1">
      <alignment vertical="top"/>
    </xf>
    <xf numFmtId="0" fontId="41" fillId="0" borderId="29" xfId="7" applyFont="1" applyFill="1" applyBorder="1" applyAlignment="1">
      <alignment horizontal="right" vertical="top" wrapText="1"/>
    </xf>
    <xf numFmtId="169" fontId="41" fillId="25" borderId="26" xfId="1" applyNumberFormat="1" applyFont="1" applyFill="1" applyBorder="1" applyAlignment="1">
      <alignment vertical="top"/>
    </xf>
    <xf numFmtId="169" fontId="38" fillId="25" borderId="24" xfId="1" applyNumberFormat="1" applyFont="1" applyFill="1" applyBorder="1" applyAlignment="1">
      <alignment vertical="top"/>
    </xf>
    <xf numFmtId="169" fontId="41" fillId="19" borderId="27" xfId="1" applyNumberFormat="1" applyFont="1" applyFill="1" applyBorder="1" applyAlignment="1">
      <alignment vertical="top"/>
    </xf>
    <xf numFmtId="169" fontId="41" fillId="0" borderId="27" xfId="1" applyNumberFormat="1" applyFont="1" applyFill="1" applyBorder="1" applyAlignment="1">
      <alignment vertical="top"/>
    </xf>
    <xf numFmtId="3" fontId="40" fillId="0" borderId="34" xfId="7" applyNumberFormat="1" applyFont="1" applyFill="1" applyBorder="1" applyAlignment="1">
      <alignment vertical="top"/>
    </xf>
    <xf numFmtId="169" fontId="40" fillId="0" borderId="34" xfId="1" applyNumberFormat="1" applyFont="1" applyBorder="1" applyAlignment="1">
      <alignment vertical="top"/>
    </xf>
    <xf numFmtId="169" fontId="41" fillId="0" borderId="34" xfId="1" applyNumberFormat="1" applyFont="1" applyBorder="1" applyAlignment="1">
      <alignment vertical="top"/>
    </xf>
    <xf numFmtId="169" fontId="41" fillId="25" borderId="34" xfId="1" applyNumberFormat="1" applyFont="1" applyFill="1" applyBorder="1" applyAlignment="1">
      <alignment vertical="top"/>
    </xf>
    <xf numFmtId="41" fontId="41" fillId="0" borderId="21" xfId="7" applyNumberFormat="1" applyFont="1" applyBorder="1"/>
    <xf numFmtId="41" fontId="41" fillId="25" borderId="21" xfId="7" applyNumberFormat="1" applyFont="1" applyFill="1" applyBorder="1"/>
    <xf numFmtId="169" fontId="40" fillId="0" borderId="27" xfId="1" applyNumberFormat="1" applyFont="1" applyBorder="1" applyAlignment="1">
      <alignment horizontal="right" vertical="top"/>
    </xf>
    <xf numFmtId="41" fontId="40" fillId="0" borderId="27" xfId="7" applyNumberFormat="1" applyFont="1" applyFill="1" applyBorder="1" applyAlignment="1">
      <alignment vertical="top"/>
    </xf>
    <xf numFmtId="4" fontId="40" fillId="0" borderId="26" xfId="7" applyNumberFormat="1" applyFont="1" applyFill="1" applyBorder="1" applyAlignment="1">
      <alignment vertical="top"/>
    </xf>
    <xf numFmtId="41" fontId="39" fillId="13" borderId="35" xfId="7" applyNumberFormat="1" applyFont="1" applyFill="1" applyBorder="1" applyAlignment="1">
      <alignment vertical="top"/>
    </xf>
    <xf numFmtId="41" fontId="38" fillId="0" borderId="35" xfId="7" applyNumberFormat="1" applyFont="1" applyFill="1" applyBorder="1" applyAlignment="1">
      <alignment vertical="top"/>
    </xf>
    <xf numFmtId="41" fontId="38" fillId="25" borderId="35" xfId="7" applyNumberFormat="1" applyFont="1" applyFill="1" applyBorder="1" applyAlignment="1">
      <alignment vertical="top"/>
    </xf>
    <xf numFmtId="169" fontId="40" fillId="0" borderId="0" xfId="7" applyNumberFormat="1" applyFont="1"/>
    <xf numFmtId="0" fontId="40" fillId="19" borderId="27" xfId="7" applyFont="1" applyFill="1" applyBorder="1" applyAlignment="1">
      <alignment vertical="top"/>
    </xf>
    <xf numFmtId="169" fontId="40" fillId="19" borderId="27" xfId="1" applyNumberFormat="1" applyFont="1" applyFill="1" applyBorder="1" applyAlignment="1">
      <alignment vertical="top"/>
    </xf>
    <xf numFmtId="0" fontId="6" fillId="0" borderId="0" xfId="4" applyFont="1"/>
    <xf numFmtId="0" fontId="5" fillId="0" borderId="0" xfId="4" applyFont="1"/>
    <xf numFmtId="0" fontId="4" fillId="0" borderId="0" xfId="4" applyFont="1"/>
    <xf numFmtId="0" fontId="3" fillId="0" borderId="0" xfId="4" applyFont="1"/>
    <xf numFmtId="0" fontId="2" fillId="0" borderId="0" xfId="4" applyFont="1"/>
    <xf numFmtId="0" fontId="1" fillId="0" borderId="0" xfId="4" applyFont="1"/>
    <xf numFmtId="0" fontId="32" fillId="0" borderId="2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/>
    </xf>
    <xf numFmtId="0" fontId="32" fillId="0" borderId="4" xfId="0" applyFont="1" applyBorder="1" applyAlignment="1">
      <alignment horizontal="left" vertical="top"/>
    </xf>
    <xf numFmtId="0" fontId="32" fillId="0" borderId="5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13" xfId="0" applyFont="1" applyBorder="1" applyAlignment="1">
      <alignment horizontal="left" vertical="top"/>
    </xf>
    <xf numFmtId="0" fontId="32" fillId="0" borderId="6" xfId="0" applyFont="1" applyBorder="1" applyAlignment="1">
      <alignment horizontal="left" vertical="top"/>
    </xf>
    <xf numFmtId="0" fontId="32" fillId="0" borderId="7" xfId="0" applyFont="1" applyBorder="1" applyAlignment="1">
      <alignment horizontal="left" vertical="top"/>
    </xf>
    <xf numFmtId="0" fontId="32" fillId="0" borderId="17" xfId="0" applyFont="1" applyBorder="1" applyAlignment="1">
      <alignment horizontal="left" vertical="top"/>
    </xf>
    <xf numFmtId="0" fontId="31" fillId="0" borderId="22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center"/>
    </xf>
    <xf numFmtId="0" fontId="30" fillId="0" borderId="5" xfId="0" applyFont="1" applyBorder="1" applyAlignment="1"/>
    <xf numFmtId="0" fontId="30" fillId="0" borderId="0" xfId="0" applyFont="1" applyBorder="1" applyAlignment="1"/>
    <xf numFmtId="43" fontId="20" fillId="0" borderId="0" xfId="6" applyNumberFormat="1" applyFont="1" applyBorder="1" applyAlignment="1">
      <alignment horizontal="right"/>
    </xf>
    <xf numFmtId="0" fontId="18" fillId="0" borderId="0" xfId="6" applyFont="1" applyAlignment="1">
      <alignment horizontal="center"/>
    </xf>
    <xf numFmtId="0" fontId="21" fillId="11" borderId="1" xfId="6" applyFont="1" applyFill="1" applyBorder="1" applyAlignment="1">
      <alignment horizontal="center"/>
    </xf>
    <xf numFmtId="0" fontId="20" fillId="14" borderId="10" xfId="6" applyFont="1" applyFill="1" applyBorder="1" applyAlignment="1">
      <alignment horizontal="center"/>
    </xf>
    <xf numFmtId="0" fontId="20" fillId="14" borderId="23" xfId="6" applyFont="1" applyFill="1" applyBorder="1" applyAlignment="1">
      <alignment horizontal="center"/>
    </xf>
    <xf numFmtId="0" fontId="20" fillId="9" borderId="10" xfId="6" applyFont="1" applyFill="1" applyBorder="1" applyAlignment="1">
      <alignment horizontal="center"/>
    </xf>
    <xf numFmtId="0" fontId="24" fillId="9" borderId="10" xfId="4" applyFont="1" applyFill="1" applyBorder="1" applyAlignment="1">
      <alignment horizontal="center"/>
    </xf>
    <xf numFmtId="0" fontId="20" fillId="0" borderId="10" xfId="6" applyFont="1" applyBorder="1" applyAlignment="1">
      <alignment horizontal="center"/>
    </xf>
    <xf numFmtId="0" fontId="20" fillId="0" borderId="23" xfId="6" applyFont="1" applyBorder="1" applyAlignment="1">
      <alignment horizontal="center"/>
    </xf>
    <xf numFmtId="0" fontId="20" fillId="10" borderId="1" xfId="6" applyFont="1" applyFill="1" applyBorder="1" applyAlignment="1">
      <alignment horizontal="center"/>
    </xf>
  </cellXfs>
  <cellStyles count="8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5 2" xfId="7"/>
    <cellStyle name="Normal_Accounts 2002-03 - Period 3" xfId="6"/>
  </cellStyles>
  <dxfs count="9"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130" zoomScaleNormal="130" workbookViewId="0">
      <selection activeCell="A12" sqref="A12:C12"/>
    </sheetView>
  </sheetViews>
  <sheetFormatPr defaultColWidth="8.83203125" defaultRowHeight="12.3" x14ac:dyDescent="0.4"/>
  <cols>
    <col min="1" max="1" width="20.83203125" customWidth="1"/>
    <col min="2" max="2" width="10" customWidth="1"/>
    <col min="3" max="3" width="11.44140625" customWidth="1"/>
    <col min="4" max="4" width="10" customWidth="1"/>
    <col min="5" max="5" width="0.71875" customWidth="1"/>
    <col min="6" max="6" width="13.71875" customWidth="1"/>
    <col min="7" max="7" width="7.83203125" customWidth="1"/>
    <col min="8" max="8" width="10.44140625" customWidth="1"/>
    <col min="9" max="9" width="10.1640625" customWidth="1"/>
    <col min="10" max="10" width="1.44140625" customWidth="1"/>
    <col min="11" max="11" width="10.44140625" customWidth="1"/>
    <col min="12" max="12" width="10.1640625" customWidth="1"/>
    <col min="13" max="13" width="12.71875" customWidth="1"/>
    <col min="14" max="14" width="12.44140625" customWidth="1"/>
    <col min="15" max="15" width="10.44140625" customWidth="1"/>
    <col min="16" max="16" width="10.1640625" customWidth="1"/>
    <col min="17" max="17" width="9.44140625" bestFit="1" customWidth="1"/>
  </cols>
  <sheetData>
    <row r="1" spans="1:19" ht="17.7" x14ac:dyDescent="0.6">
      <c r="A1" s="6" t="s">
        <v>41</v>
      </c>
      <c r="F1" s="82"/>
      <c r="G1" s="7" t="s">
        <v>396</v>
      </c>
      <c r="H1" s="82"/>
    </row>
    <row r="2" spans="1:19" ht="3" customHeight="1" x14ac:dyDescent="0.4"/>
    <row r="3" spans="1:19" x14ac:dyDescent="0.4">
      <c r="A3" s="313" t="s">
        <v>160</v>
      </c>
      <c r="B3" s="314"/>
      <c r="C3" s="315"/>
      <c r="D3" s="5" t="s">
        <v>29</v>
      </c>
      <c r="E3" s="104"/>
      <c r="F3" s="319" t="s">
        <v>36</v>
      </c>
      <c r="G3" s="320"/>
      <c r="H3" s="320"/>
      <c r="I3" s="321"/>
      <c r="J3" s="103"/>
      <c r="K3" s="316" t="s">
        <v>44</v>
      </c>
      <c r="L3" s="317"/>
      <c r="M3" s="317"/>
      <c r="N3" s="318"/>
    </row>
    <row r="4" spans="1:19" ht="12.9" x14ac:dyDescent="0.5">
      <c r="A4" s="323" t="s">
        <v>397</v>
      </c>
      <c r="B4" s="324"/>
      <c r="C4" s="324"/>
      <c r="D4" s="143">
        <v>213.05</v>
      </c>
      <c r="E4" s="105"/>
      <c r="F4" s="106" t="s">
        <v>42</v>
      </c>
      <c r="G4" s="107"/>
      <c r="H4" s="108"/>
      <c r="I4" s="109">
        <v>10235.98</v>
      </c>
      <c r="J4" s="110"/>
      <c r="K4" s="111"/>
      <c r="L4" s="111" t="s">
        <v>7</v>
      </c>
      <c r="M4" s="111" t="s">
        <v>6</v>
      </c>
      <c r="N4" s="111" t="s">
        <v>106</v>
      </c>
    </row>
    <row r="5" spans="1:19" ht="11.1" customHeight="1" x14ac:dyDescent="0.5">
      <c r="A5" s="323" t="s">
        <v>398</v>
      </c>
      <c r="B5" s="324"/>
      <c r="C5" s="324"/>
      <c r="D5" s="144">
        <v>290.92</v>
      </c>
      <c r="E5" s="112"/>
      <c r="F5" s="106" t="s">
        <v>214</v>
      </c>
      <c r="G5" s="107"/>
      <c r="H5" s="108"/>
      <c r="I5" s="113">
        <v>2066.75</v>
      </c>
      <c r="J5" s="110"/>
      <c r="K5" s="114" t="s">
        <v>8</v>
      </c>
      <c r="L5" s="115">
        <v>25151</v>
      </c>
      <c r="M5" s="116">
        <f>Cashbook!H154</f>
        <v>19194.72</v>
      </c>
      <c r="N5" s="115">
        <f>SUM(L5)-M5</f>
        <v>5956.2799999999988</v>
      </c>
    </row>
    <row r="6" spans="1:19" ht="11.25" customHeight="1" x14ac:dyDescent="0.5">
      <c r="A6" s="323" t="s">
        <v>399</v>
      </c>
      <c r="B6" s="324"/>
      <c r="C6" s="324"/>
      <c r="D6" s="143">
        <v>610.5</v>
      </c>
      <c r="E6" s="112"/>
      <c r="F6" s="106" t="s">
        <v>43</v>
      </c>
      <c r="G6" s="107"/>
      <c r="H6" s="108"/>
      <c r="I6" s="117">
        <v>11725.56</v>
      </c>
      <c r="J6" s="110"/>
      <c r="K6" s="114" t="s">
        <v>50</v>
      </c>
      <c r="L6" s="115"/>
      <c r="M6" s="115">
        <f>Cashbook!I154</f>
        <v>17.330000000000002</v>
      </c>
      <c r="N6" s="115">
        <f>SUM(L6)-M6</f>
        <v>-17.330000000000002</v>
      </c>
    </row>
    <row r="7" spans="1:19" ht="12" customHeight="1" x14ac:dyDescent="0.5">
      <c r="A7" s="323" t="s">
        <v>400</v>
      </c>
      <c r="B7" s="324"/>
      <c r="C7" s="324"/>
      <c r="D7" s="143">
        <v>36</v>
      </c>
      <c r="E7" s="118"/>
      <c r="F7" s="119" t="s">
        <v>107</v>
      </c>
      <c r="G7" s="120"/>
      <c r="H7" s="120"/>
      <c r="I7" s="121">
        <f>SUM(I4:I6)</f>
        <v>24028.29</v>
      </c>
      <c r="J7" s="110"/>
      <c r="K7" s="114" t="s">
        <v>51</v>
      </c>
      <c r="L7" s="115">
        <v>30</v>
      </c>
      <c r="M7" s="115">
        <f>Cashbook!J154</f>
        <v>29158.53</v>
      </c>
      <c r="N7" s="115">
        <f>SUM(L7)-M7</f>
        <v>-29128.53</v>
      </c>
    </row>
    <row r="8" spans="1:19" ht="12.9" x14ac:dyDescent="0.5">
      <c r="A8" s="323" t="s">
        <v>401</v>
      </c>
      <c r="B8" s="324"/>
      <c r="C8" s="324"/>
      <c r="D8" s="144">
        <v>464.36</v>
      </c>
      <c r="E8" s="118"/>
      <c r="F8" s="106" t="s">
        <v>63</v>
      </c>
      <c r="G8" s="107"/>
      <c r="H8" s="108"/>
      <c r="I8" s="142">
        <v>0</v>
      </c>
      <c r="J8" s="123"/>
      <c r="K8" s="114"/>
      <c r="L8" s="114"/>
      <c r="M8" s="114"/>
      <c r="N8" s="114"/>
      <c r="S8" s="74"/>
    </row>
    <row r="9" spans="1:19" ht="12" customHeight="1" x14ac:dyDescent="0.5">
      <c r="A9" s="323" t="s">
        <v>402</v>
      </c>
      <c r="B9" s="324"/>
      <c r="C9" s="324"/>
      <c r="D9" s="144">
        <v>10.55</v>
      </c>
      <c r="E9" s="118"/>
      <c r="F9" s="106"/>
      <c r="G9" s="107"/>
      <c r="H9" s="108"/>
      <c r="I9" s="121">
        <f>SUM(I7-I8)</f>
        <v>24028.29</v>
      </c>
      <c r="J9" s="124"/>
      <c r="K9" s="111" t="s">
        <v>0</v>
      </c>
      <c r="L9" s="125">
        <f>SUM(L5:L8)</f>
        <v>25181</v>
      </c>
      <c r="M9" s="125">
        <f>SUM(M5:M8)</f>
        <v>48370.58</v>
      </c>
      <c r="N9" s="125">
        <f>SUM(N5:N8)</f>
        <v>-23189.58</v>
      </c>
    </row>
    <row r="10" spans="1:19" ht="12" customHeight="1" x14ac:dyDescent="0.5">
      <c r="A10" s="323" t="s">
        <v>403</v>
      </c>
      <c r="B10" s="324"/>
      <c r="C10" s="324"/>
      <c r="D10" s="144">
        <v>22.73</v>
      </c>
      <c r="E10" s="118"/>
      <c r="F10" s="119" t="s">
        <v>37</v>
      </c>
      <c r="G10" s="107"/>
      <c r="H10" s="108"/>
      <c r="I10" s="122">
        <f>Cashbook!F161</f>
        <v>39353.829999999994</v>
      </c>
      <c r="J10" s="124"/>
      <c r="K10" s="124"/>
      <c r="L10" s="120"/>
      <c r="M10" s="120"/>
      <c r="N10" s="120"/>
    </row>
    <row r="11" spans="1:19" ht="12" customHeight="1" x14ac:dyDescent="0.5">
      <c r="A11" s="323" t="s">
        <v>404</v>
      </c>
      <c r="B11" s="324"/>
      <c r="C11" s="324"/>
      <c r="D11" s="144">
        <v>90</v>
      </c>
      <c r="E11" s="118"/>
      <c r="F11" s="119" t="s">
        <v>38</v>
      </c>
      <c r="G11" s="107"/>
      <c r="H11" s="108"/>
      <c r="I11" s="139">
        <f>Cashbook!F162</f>
        <v>54192.319999999985</v>
      </c>
      <c r="J11" s="126"/>
      <c r="K11" s="126"/>
      <c r="L11" s="120"/>
      <c r="M11" s="120"/>
      <c r="N11" s="120"/>
    </row>
    <row r="12" spans="1:19" ht="12" customHeight="1" x14ac:dyDescent="0.5">
      <c r="A12" s="323"/>
      <c r="B12" s="324"/>
      <c r="C12" s="324"/>
      <c r="D12" s="145"/>
      <c r="E12" s="118"/>
      <c r="F12" s="119" t="s">
        <v>39</v>
      </c>
      <c r="G12" s="107"/>
      <c r="H12" s="108"/>
      <c r="I12" s="142">
        <v>0</v>
      </c>
      <c r="J12" s="126"/>
      <c r="K12" s="126"/>
      <c r="L12" s="120"/>
      <c r="M12" s="120"/>
      <c r="N12" s="120"/>
    </row>
    <row r="13" spans="1:19" ht="12" customHeight="1" x14ac:dyDescent="0.5">
      <c r="A13" s="323"/>
      <c r="B13" s="324"/>
      <c r="C13" s="324"/>
      <c r="D13" s="145"/>
      <c r="E13" s="118"/>
      <c r="F13" s="127" t="s">
        <v>40</v>
      </c>
      <c r="G13" s="128"/>
      <c r="H13" s="129"/>
      <c r="I13" s="130">
        <f>SUM(I9+I10-I11-I12)</f>
        <v>9189.8000000000102</v>
      </c>
      <c r="J13" s="126"/>
      <c r="K13" s="126"/>
      <c r="L13" s="120"/>
      <c r="M13" s="120"/>
      <c r="N13" s="120"/>
    </row>
    <row r="14" spans="1:19" ht="12.9" x14ac:dyDescent="0.5">
      <c r="A14" s="323"/>
      <c r="B14" s="324"/>
      <c r="C14" s="324"/>
      <c r="D14" s="145"/>
      <c r="E14" s="131"/>
      <c r="F14" s="126"/>
      <c r="G14" s="126"/>
      <c r="H14" s="126"/>
      <c r="I14" s="126"/>
      <c r="J14" s="126"/>
      <c r="K14" s="126"/>
      <c r="L14" s="120"/>
      <c r="M14" s="120"/>
      <c r="N14" s="120"/>
    </row>
    <row r="15" spans="1:19" ht="12.75" customHeight="1" x14ac:dyDescent="0.5">
      <c r="A15" s="127"/>
      <c r="B15" s="128"/>
      <c r="C15" s="128"/>
      <c r="D15" s="140">
        <f>SUM(D4:D14)</f>
        <v>1738.11</v>
      </c>
      <c r="E15" s="132"/>
      <c r="F15" s="126"/>
      <c r="G15" s="126"/>
      <c r="H15" s="126"/>
      <c r="I15" s="126"/>
      <c r="J15" s="126"/>
      <c r="K15" s="126"/>
      <c r="L15" s="120"/>
      <c r="M15" s="120"/>
      <c r="N15" s="120"/>
    </row>
    <row r="16" spans="1:19" ht="4.5" customHeight="1" x14ac:dyDescent="0.5">
      <c r="A16" s="13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0"/>
      <c r="M16" s="120"/>
      <c r="N16" s="120"/>
    </row>
    <row r="17" spans="1:17" ht="12.9" x14ac:dyDescent="0.5">
      <c r="A17" s="322" t="s">
        <v>32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</row>
    <row r="18" spans="1:17" ht="12.9" x14ac:dyDescent="0.5">
      <c r="A18" s="134" t="s">
        <v>31</v>
      </c>
      <c r="B18" s="135" t="s">
        <v>9</v>
      </c>
      <c r="C18" s="135" t="s">
        <v>34</v>
      </c>
      <c r="D18" s="135" t="s">
        <v>33</v>
      </c>
      <c r="E18" s="135"/>
      <c r="F18" s="135" t="s">
        <v>105</v>
      </c>
      <c r="G18" s="298" t="s">
        <v>35</v>
      </c>
      <c r="H18" s="299"/>
      <c r="I18" s="299"/>
      <c r="J18" s="299"/>
      <c r="K18" s="299"/>
      <c r="L18" s="299"/>
      <c r="M18" s="299"/>
      <c r="N18" s="300"/>
    </row>
    <row r="19" spans="1:17" ht="12.9" x14ac:dyDescent="0.5">
      <c r="A19" s="115" t="s">
        <v>102</v>
      </c>
      <c r="B19" s="136">
        <f>Budget!H10</f>
        <v>25110</v>
      </c>
      <c r="C19" s="137"/>
      <c r="D19" s="137">
        <f>Budget!I10</f>
        <v>24174.530000000002</v>
      </c>
      <c r="E19" s="137"/>
      <c r="F19" s="137">
        <f>SUM(B19)-SUM(C19:D19)</f>
        <v>935.46999999999753</v>
      </c>
      <c r="G19" s="310"/>
      <c r="H19" s="311"/>
      <c r="I19" s="311"/>
      <c r="J19" s="311"/>
      <c r="K19" s="311"/>
      <c r="L19" s="311"/>
      <c r="M19" s="311"/>
      <c r="N19" s="312"/>
    </row>
    <row r="20" spans="1:17" ht="12.9" x14ac:dyDescent="0.5">
      <c r="A20" s="115" t="s">
        <v>12</v>
      </c>
      <c r="B20" s="138">
        <f>Budget!H24</f>
        <v>8810</v>
      </c>
      <c r="C20" s="137"/>
      <c r="D20" s="137">
        <f>Budget!I24</f>
        <v>5122.96</v>
      </c>
      <c r="E20" s="137"/>
      <c r="F20" s="137">
        <f t="shared" ref="F20:F25" si="0">SUM(B20)-SUM(C20:D20)</f>
        <v>3687.04</v>
      </c>
      <c r="G20" s="310"/>
      <c r="H20" s="311"/>
      <c r="I20" s="311"/>
      <c r="J20" s="311"/>
      <c r="K20" s="311"/>
      <c r="L20" s="311"/>
      <c r="M20" s="311"/>
      <c r="N20" s="312"/>
    </row>
    <row r="21" spans="1:17" ht="12.9" x14ac:dyDescent="0.5">
      <c r="A21" s="115" t="s">
        <v>14</v>
      </c>
      <c r="B21" s="138">
        <f>Budget!H29</f>
        <v>5500</v>
      </c>
      <c r="C21" s="137"/>
      <c r="D21" s="137">
        <f>Budget!I29</f>
        <v>4605.6000000000004</v>
      </c>
      <c r="E21" s="137"/>
      <c r="F21" s="137">
        <f t="shared" si="0"/>
        <v>894.39999999999964</v>
      </c>
      <c r="G21" s="310"/>
      <c r="H21" s="311"/>
      <c r="I21" s="311"/>
      <c r="J21" s="311"/>
      <c r="K21" s="311"/>
      <c r="L21" s="311"/>
      <c r="M21" s="311"/>
      <c r="N21" s="312"/>
    </row>
    <row r="22" spans="1:17" ht="12.9" x14ac:dyDescent="0.5">
      <c r="A22" s="115" t="s">
        <v>16</v>
      </c>
      <c r="B22" s="138">
        <f>Budget!H42</f>
        <v>10975.0015</v>
      </c>
      <c r="C22" s="137"/>
      <c r="D22" s="137">
        <f>Budget!I42</f>
        <v>5526.35</v>
      </c>
      <c r="E22" s="137"/>
      <c r="F22" s="137">
        <f t="shared" si="0"/>
        <v>5448.6514999999999</v>
      </c>
      <c r="G22" s="310"/>
      <c r="H22" s="311"/>
      <c r="I22" s="311"/>
      <c r="J22" s="311"/>
      <c r="K22" s="311"/>
      <c r="L22" s="311"/>
      <c r="M22" s="311"/>
      <c r="N22" s="312"/>
    </row>
    <row r="23" spans="1:17" ht="12.9" x14ac:dyDescent="0.5">
      <c r="A23" s="115" t="s">
        <v>10</v>
      </c>
      <c r="B23" s="138">
        <f>Budget!H50</f>
        <v>488</v>
      </c>
      <c r="C23" s="137"/>
      <c r="D23" s="137">
        <f>Budget!I50</f>
        <v>153</v>
      </c>
      <c r="E23" s="137"/>
      <c r="F23" s="137">
        <f t="shared" si="0"/>
        <v>335</v>
      </c>
      <c r="G23" s="310"/>
      <c r="H23" s="311"/>
      <c r="I23" s="311"/>
      <c r="J23" s="311"/>
      <c r="K23" s="311"/>
      <c r="L23" s="311"/>
      <c r="M23" s="311"/>
      <c r="N23" s="312"/>
    </row>
    <row r="24" spans="1:17" ht="12.9" x14ac:dyDescent="0.5">
      <c r="A24" s="115" t="s">
        <v>103</v>
      </c>
      <c r="B24" s="138">
        <f>Budget!H54</f>
        <v>650</v>
      </c>
      <c r="C24" s="137"/>
      <c r="D24" s="137">
        <f>Budget!I54</f>
        <v>375</v>
      </c>
      <c r="E24" s="137"/>
      <c r="F24" s="137">
        <f t="shared" si="0"/>
        <v>275</v>
      </c>
      <c r="G24" s="310"/>
      <c r="H24" s="311"/>
      <c r="I24" s="311"/>
      <c r="J24" s="311"/>
      <c r="K24" s="311"/>
      <c r="L24" s="311"/>
      <c r="M24" s="311"/>
      <c r="N24" s="312"/>
    </row>
    <row r="25" spans="1:17" ht="12.9" x14ac:dyDescent="0.5">
      <c r="A25" s="115" t="s">
        <v>324</v>
      </c>
      <c r="B25" s="138">
        <f>Budget!H70</f>
        <v>22000</v>
      </c>
      <c r="C25" s="137">
        <v>22000</v>
      </c>
      <c r="D25" s="137">
        <f>Cashbook!U154</f>
        <v>0</v>
      </c>
      <c r="E25" s="137"/>
      <c r="F25" s="137">
        <f t="shared" si="0"/>
        <v>0</v>
      </c>
      <c r="G25" s="310"/>
      <c r="H25" s="311"/>
      <c r="I25" s="311"/>
      <c r="J25" s="311"/>
      <c r="K25" s="311"/>
      <c r="L25" s="311"/>
      <c r="M25" s="311"/>
      <c r="N25" s="312"/>
      <c r="Q25" s="102"/>
    </row>
    <row r="26" spans="1:17" ht="4.5" customHeight="1" x14ac:dyDescent="0.5">
      <c r="A26" s="115"/>
      <c r="B26" s="138"/>
      <c r="C26" s="137"/>
      <c r="D26" s="137"/>
      <c r="E26" s="137"/>
      <c r="F26" s="137"/>
      <c r="G26" s="298"/>
      <c r="H26" s="299"/>
      <c r="I26" s="299"/>
      <c r="J26" s="299"/>
      <c r="K26" s="299"/>
      <c r="L26" s="299"/>
      <c r="M26" s="299"/>
      <c r="N26" s="300"/>
    </row>
    <row r="27" spans="1:17" ht="12.9" x14ac:dyDescent="0.5">
      <c r="A27" s="111" t="s">
        <v>0</v>
      </c>
      <c r="B27" s="138">
        <f>SUM(B19:B26)</f>
        <v>73533.001499999998</v>
      </c>
      <c r="C27" s="138">
        <f>SUM(C19:C26)</f>
        <v>22000</v>
      </c>
      <c r="D27" s="138">
        <f>SUM(D19:D26)</f>
        <v>39957.440000000002</v>
      </c>
      <c r="E27" s="138"/>
      <c r="F27" s="138">
        <f>SUM(F19:F26)</f>
        <v>11575.561499999996</v>
      </c>
      <c r="G27" s="298"/>
      <c r="H27" s="299"/>
      <c r="I27" s="299"/>
      <c r="J27" s="299"/>
      <c r="K27" s="299"/>
      <c r="L27" s="299"/>
      <c r="M27" s="299"/>
      <c r="N27" s="300"/>
    </row>
    <row r="28" spans="1:17" ht="7.5" customHeight="1" x14ac:dyDescent="0.4"/>
    <row r="29" spans="1:17" x14ac:dyDescent="0.4">
      <c r="A29" s="301" t="s">
        <v>162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3"/>
    </row>
    <row r="30" spans="1:17" x14ac:dyDescent="0.4">
      <c r="A30" s="304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6"/>
    </row>
    <row r="31" spans="1:17" x14ac:dyDescent="0.4">
      <c r="A31" s="304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6"/>
    </row>
    <row r="32" spans="1:17" x14ac:dyDescent="0.4">
      <c r="A32" s="304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6"/>
    </row>
    <row r="33" spans="1:14" x14ac:dyDescent="0.4">
      <c r="A33" s="304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6"/>
    </row>
    <row r="34" spans="1:14" x14ac:dyDescent="0.4">
      <c r="A34" s="304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6"/>
    </row>
    <row r="35" spans="1:14" x14ac:dyDescent="0.4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6"/>
    </row>
    <row r="36" spans="1:14" x14ac:dyDescent="0.4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6"/>
    </row>
    <row r="37" spans="1:14" x14ac:dyDescent="0.4">
      <c r="A37" s="304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6"/>
    </row>
    <row r="38" spans="1:14" x14ac:dyDescent="0.4">
      <c r="A38" s="304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6"/>
    </row>
    <row r="39" spans="1:14" x14ac:dyDescent="0.4">
      <c r="A39" s="307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9"/>
    </row>
    <row r="43" spans="1:14" ht="12" customHeight="1" x14ac:dyDescent="0.4"/>
  </sheetData>
  <mergeCells count="26">
    <mergeCell ref="G20:N20"/>
    <mergeCell ref="A4:C4"/>
    <mergeCell ref="G19:N19"/>
    <mergeCell ref="A5:C5"/>
    <mergeCell ref="A8:C8"/>
    <mergeCell ref="A9:C9"/>
    <mergeCell ref="A11:C11"/>
    <mergeCell ref="A12:C12"/>
    <mergeCell ref="A13:C13"/>
    <mergeCell ref="A6:C6"/>
    <mergeCell ref="A7:C7"/>
    <mergeCell ref="A10:C10"/>
    <mergeCell ref="A14:C14"/>
    <mergeCell ref="A3:C3"/>
    <mergeCell ref="K3:N3"/>
    <mergeCell ref="F3:I3"/>
    <mergeCell ref="G18:N18"/>
    <mergeCell ref="A17:N17"/>
    <mergeCell ref="G26:N26"/>
    <mergeCell ref="G27:N27"/>
    <mergeCell ref="A29:N39"/>
    <mergeCell ref="G21:N21"/>
    <mergeCell ref="G22:N22"/>
    <mergeCell ref="G23:N23"/>
    <mergeCell ref="G24:N24"/>
    <mergeCell ref="G25:N25"/>
  </mergeCells>
  <phoneticPr fontId="16" type="noConversion"/>
  <conditionalFormatting sqref="F19:F25">
    <cfRule type="cellIs" dxfId="8" priority="1" stopIfTrue="1" operator="lessThan">
      <formula>0</formula>
    </cfRule>
  </conditionalFormatting>
  <pageMargins left="7.874015748031496E-2" right="7.874015748031496E-2" top="7.874015748031496E-2" bottom="7.874015748031496E-2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6"/>
  <sheetViews>
    <sheetView zoomScaleNormal="100" workbookViewId="0">
      <pane xSplit="7" ySplit="5" topLeftCell="H114" activePane="bottomRight" state="frozen"/>
      <selection pane="topRight" activeCell="H1" sqref="H1"/>
      <selection pane="bottomLeft" activeCell="A6" sqref="A6"/>
      <selection pane="bottomRight" activeCell="J5" sqref="J5"/>
    </sheetView>
  </sheetViews>
  <sheetFormatPr defaultColWidth="1.1640625" defaultRowHeight="14.4" x14ac:dyDescent="0.55000000000000004"/>
  <cols>
    <col min="1" max="1" width="1.1640625" style="9" customWidth="1"/>
    <col min="2" max="3" width="9" style="9" customWidth="1"/>
    <col min="4" max="4" width="26.71875" style="9" customWidth="1"/>
    <col min="5" max="5" width="10.71875" style="9" customWidth="1"/>
    <col min="6" max="6" width="10" style="9" customWidth="1"/>
    <col min="7" max="7" width="11.1640625" style="9" customWidth="1"/>
    <col min="8" max="8" width="9.1640625" style="9" customWidth="1"/>
    <col min="9" max="9" width="9.27734375" style="9" customWidth="1"/>
    <col min="10" max="10" width="9.83203125" style="9" customWidth="1"/>
    <col min="11" max="11" width="9.27734375" style="9" customWidth="1"/>
    <col min="12" max="12" width="8.83203125" style="9" customWidth="1"/>
    <col min="13" max="13" width="9.83203125" style="9" customWidth="1"/>
    <col min="14" max="14" width="10.5546875" style="9" customWidth="1"/>
    <col min="15" max="15" width="9.5546875" style="9" customWidth="1"/>
    <col min="16" max="16" width="0.44140625" style="9" customWidth="1"/>
    <col min="17" max="17" width="3.5546875" style="9" hidden="1" customWidth="1"/>
    <col min="18" max="18" width="10.44140625" style="9" customWidth="1"/>
    <col min="19" max="19" width="12.5546875" style="9" customWidth="1"/>
    <col min="20" max="20" width="9.83203125" style="9" customWidth="1"/>
    <col min="21" max="21" width="9.1640625" style="9" customWidth="1"/>
    <col min="22" max="22" width="9.83203125" style="9" customWidth="1"/>
    <col min="23" max="23" width="14.5546875" style="9" bestFit="1" customWidth="1"/>
    <col min="24" max="25" width="9.1640625" style="9" customWidth="1"/>
    <col min="26" max="26" width="3.1640625" style="9" customWidth="1"/>
    <col min="27" max="27" width="28.44140625" style="9" customWidth="1"/>
    <col min="28" max="28" width="9.1640625" style="9" customWidth="1"/>
    <col min="29" max="29" width="14.5546875" style="9" hidden="1" customWidth="1"/>
    <col min="30" max="235" width="9.1640625" style="9" customWidth="1"/>
    <col min="236" max="16384" width="1.1640625" style="9"/>
  </cols>
  <sheetData>
    <row r="1" spans="1:29" ht="22.2" x14ac:dyDescent="0.7">
      <c r="A1" s="8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8"/>
    </row>
    <row r="2" spans="1:29" ht="22.5" x14ac:dyDescent="0.75">
      <c r="A2" s="8"/>
      <c r="B2" s="327" t="s">
        <v>201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8"/>
    </row>
    <row r="3" spans="1:29" x14ac:dyDescent="0.55000000000000004">
      <c r="A3" s="8"/>
      <c r="B3" s="10"/>
      <c r="C3" s="10"/>
      <c r="D3" s="11"/>
      <c r="E3" s="11"/>
      <c r="F3" s="11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</row>
    <row r="4" spans="1:29" x14ac:dyDescent="0.55000000000000004">
      <c r="A4" s="8"/>
      <c r="B4" s="334" t="s">
        <v>30</v>
      </c>
      <c r="C4" s="334"/>
      <c r="D4" s="334"/>
      <c r="E4" s="334"/>
      <c r="F4" s="334"/>
      <c r="G4" s="334"/>
      <c r="H4" s="328" t="s">
        <v>5</v>
      </c>
      <c r="I4" s="328"/>
      <c r="J4" s="329"/>
      <c r="K4" s="57"/>
      <c r="L4" s="330" t="s">
        <v>4</v>
      </c>
      <c r="M4" s="331"/>
      <c r="N4" s="331"/>
      <c r="O4" s="331"/>
      <c r="P4" s="331"/>
      <c r="Q4" s="331"/>
      <c r="R4" s="331"/>
      <c r="S4" s="331"/>
      <c r="T4" s="331"/>
      <c r="U4" s="331"/>
      <c r="V4" s="18"/>
      <c r="W4" s="146" t="s">
        <v>310</v>
      </c>
      <c r="X4" s="146" t="s">
        <v>298</v>
      </c>
    </row>
    <row r="5" spans="1:29" ht="153" x14ac:dyDescent="0.55000000000000004">
      <c r="A5" s="8"/>
      <c r="B5" s="68" t="s">
        <v>46</v>
      </c>
      <c r="C5" s="68" t="s">
        <v>65</v>
      </c>
      <c r="D5" s="68" t="s">
        <v>47</v>
      </c>
      <c r="E5" s="69" t="s">
        <v>67</v>
      </c>
      <c r="F5" s="70" t="s">
        <v>49</v>
      </c>
      <c r="G5" s="69" t="s">
        <v>45</v>
      </c>
      <c r="H5" s="71" t="s">
        <v>8</v>
      </c>
      <c r="I5" s="63" t="s">
        <v>50</v>
      </c>
      <c r="J5" s="72" t="s">
        <v>51</v>
      </c>
      <c r="K5" s="71" t="s">
        <v>52</v>
      </c>
      <c r="L5" s="71" t="s">
        <v>53</v>
      </c>
      <c r="M5" s="63" t="s">
        <v>54</v>
      </c>
      <c r="N5" s="63" t="s">
        <v>102</v>
      </c>
      <c r="O5" s="63" t="s">
        <v>12</v>
      </c>
      <c r="P5" s="63" t="s">
        <v>13</v>
      </c>
      <c r="Q5" s="63" t="s">
        <v>14</v>
      </c>
      <c r="R5" s="63" t="s">
        <v>104</v>
      </c>
      <c r="S5" s="63" t="s">
        <v>24</v>
      </c>
      <c r="T5" s="63" t="s">
        <v>103</v>
      </c>
      <c r="U5" s="63" t="s">
        <v>28</v>
      </c>
      <c r="V5" s="19" t="s">
        <v>66</v>
      </c>
    </row>
    <row r="6" spans="1:29" x14ac:dyDescent="0.55000000000000004">
      <c r="A6" s="8"/>
      <c r="B6" s="20"/>
      <c r="C6" s="20"/>
      <c r="D6" s="21" t="s">
        <v>55</v>
      </c>
      <c r="E6" s="22"/>
      <c r="F6" s="23">
        <v>24028.29</v>
      </c>
      <c r="G6" s="24"/>
      <c r="H6" s="25"/>
      <c r="I6" s="26"/>
      <c r="J6" s="24"/>
      <c r="K6" s="25"/>
      <c r="L6" s="25"/>
      <c r="M6" s="26"/>
      <c r="N6" s="26"/>
      <c r="O6" s="26"/>
      <c r="P6" s="26"/>
      <c r="Q6" s="26"/>
      <c r="R6" s="26"/>
      <c r="S6" s="26"/>
      <c r="T6" s="26"/>
      <c r="U6" s="26"/>
      <c r="V6" s="56">
        <f>SUM(K6:U6)-G6</f>
        <v>0</v>
      </c>
      <c r="W6" s="146"/>
      <c r="Z6" s="238"/>
      <c r="AA6" s="239" t="s">
        <v>99</v>
      </c>
      <c r="AC6" s="146" t="s">
        <v>301</v>
      </c>
    </row>
    <row r="7" spans="1:29" x14ac:dyDescent="0.55000000000000004">
      <c r="A7" s="8"/>
      <c r="B7" s="20">
        <v>42843</v>
      </c>
      <c r="C7" s="20" t="s">
        <v>111</v>
      </c>
      <c r="D7" s="92" t="s">
        <v>123</v>
      </c>
      <c r="E7" s="93" t="s">
        <v>112</v>
      </c>
      <c r="F7" s="94"/>
      <c r="G7" s="24">
        <v>28.2</v>
      </c>
      <c r="H7" s="25"/>
      <c r="I7" s="25"/>
      <c r="J7" s="24"/>
      <c r="K7" s="25">
        <v>4.7</v>
      </c>
      <c r="L7" s="25"/>
      <c r="M7" s="25"/>
      <c r="N7" s="25"/>
      <c r="O7" s="25"/>
      <c r="P7" s="25"/>
      <c r="Q7" s="25"/>
      <c r="R7" s="25"/>
      <c r="S7" s="25">
        <v>23.5</v>
      </c>
      <c r="T7" s="25"/>
      <c r="U7" s="25"/>
      <c r="V7" s="56">
        <f t="shared" ref="V7:V70" si="0">SUM(K7:U7)-G7</f>
        <v>0</v>
      </c>
      <c r="W7" s="146" t="s">
        <v>300</v>
      </c>
      <c r="X7" s="9">
        <v>4</v>
      </c>
      <c r="Z7" s="238">
        <v>1</v>
      </c>
      <c r="AA7" s="240" t="s">
        <v>293</v>
      </c>
      <c r="AC7" s="147" t="s">
        <v>12</v>
      </c>
    </row>
    <row r="8" spans="1:29" x14ac:dyDescent="0.55000000000000004">
      <c r="A8" s="8"/>
      <c r="B8" s="20">
        <v>42845</v>
      </c>
      <c r="C8" s="20" t="s">
        <v>114</v>
      </c>
      <c r="D8" s="92" t="s">
        <v>169</v>
      </c>
      <c r="E8" s="93" t="s">
        <v>115</v>
      </c>
      <c r="F8" s="94"/>
      <c r="G8" s="24">
        <v>331.04</v>
      </c>
      <c r="H8" s="25"/>
      <c r="I8" s="25"/>
      <c r="J8" s="24"/>
      <c r="K8" s="25"/>
      <c r="L8" s="25">
        <v>331.04</v>
      </c>
      <c r="M8" s="25"/>
      <c r="N8" s="25"/>
      <c r="O8" s="25"/>
      <c r="P8" s="25"/>
      <c r="Q8" s="25"/>
      <c r="R8" s="25"/>
      <c r="S8" s="25"/>
      <c r="T8" s="25"/>
      <c r="U8" s="25"/>
      <c r="V8" s="56">
        <f t="shared" si="0"/>
        <v>0</v>
      </c>
      <c r="W8" s="146" t="s">
        <v>300</v>
      </c>
      <c r="X8" s="9">
        <v>1</v>
      </c>
      <c r="Z8" s="238">
        <v>2</v>
      </c>
      <c r="AA8" s="241" t="s">
        <v>100</v>
      </c>
      <c r="AC8" s="147" t="s">
        <v>299</v>
      </c>
    </row>
    <row r="9" spans="1:29" x14ac:dyDescent="0.55000000000000004">
      <c r="A9" s="8"/>
      <c r="B9" s="20">
        <v>42863</v>
      </c>
      <c r="C9" s="20" t="s">
        <v>116</v>
      </c>
      <c r="D9" s="92" t="s">
        <v>170</v>
      </c>
      <c r="E9" s="93" t="s">
        <v>115</v>
      </c>
      <c r="F9" s="94"/>
      <c r="G9" s="24">
        <v>53</v>
      </c>
      <c r="H9" s="25"/>
      <c r="I9" s="25"/>
      <c r="J9" s="24"/>
      <c r="K9" s="25"/>
      <c r="L9" s="25">
        <v>53</v>
      </c>
      <c r="M9" s="25"/>
      <c r="N9" s="25"/>
      <c r="O9" s="25"/>
      <c r="P9" s="25"/>
      <c r="Q9" s="25"/>
      <c r="R9" s="25"/>
      <c r="S9" s="25"/>
      <c r="T9" s="25"/>
      <c r="U9" s="25"/>
      <c r="V9" s="56">
        <f t="shared" si="0"/>
        <v>0</v>
      </c>
      <c r="W9" s="146" t="s">
        <v>300</v>
      </c>
      <c r="X9" s="9">
        <v>1</v>
      </c>
      <c r="Z9" s="238">
        <v>3</v>
      </c>
      <c r="AA9" s="241" t="s">
        <v>167</v>
      </c>
      <c r="AC9" s="147" t="s">
        <v>300</v>
      </c>
    </row>
    <row r="10" spans="1:29" x14ac:dyDescent="0.55000000000000004">
      <c r="A10" s="8"/>
      <c r="B10" s="20">
        <v>42846</v>
      </c>
      <c r="C10" s="20" t="s">
        <v>117</v>
      </c>
      <c r="D10" s="92" t="s">
        <v>171</v>
      </c>
      <c r="E10" s="93" t="s">
        <v>115</v>
      </c>
      <c r="F10" s="94"/>
      <c r="G10" s="24">
        <v>840</v>
      </c>
      <c r="H10" s="25"/>
      <c r="I10" s="25"/>
      <c r="J10" s="24"/>
      <c r="K10" s="25"/>
      <c r="L10" s="25"/>
      <c r="M10" s="25"/>
      <c r="N10" s="25"/>
      <c r="O10" s="25"/>
      <c r="P10" s="25"/>
      <c r="Q10" s="25">
        <v>840</v>
      </c>
      <c r="R10" s="25"/>
      <c r="S10" s="25"/>
      <c r="T10" s="25"/>
      <c r="U10" s="25"/>
      <c r="V10" s="56">
        <f t="shared" si="0"/>
        <v>0</v>
      </c>
      <c r="W10" s="146" t="s">
        <v>14</v>
      </c>
      <c r="X10" s="9">
        <v>1</v>
      </c>
      <c r="Z10" s="238">
        <v>4</v>
      </c>
      <c r="AA10" s="254" t="s">
        <v>336</v>
      </c>
      <c r="AC10" s="147" t="s">
        <v>14</v>
      </c>
    </row>
    <row r="11" spans="1:29" x14ac:dyDescent="0.55000000000000004">
      <c r="A11" s="8"/>
      <c r="B11" s="20">
        <v>42853</v>
      </c>
      <c r="C11" s="20" t="s">
        <v>113</v>
      </c>
      <c r="D11" s="92" t="s">
        <v>50</v>
      </c>
      <c r="E11" s="93"/>
      <c r="F11" s="94">
        <v>0.94</v>
      </c>
      <c r="G11" s="24"/>
      <c r="H11" s="25"/>
      <c r="I11" s="25">
        <v>0.94</v>
      </c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56">
        <f t="shared" si="0"/>
        <v>0</v>
      </c>
      <c r="W11" s="146" t="s">
        <v>5</v>
      </c>
      <c r="X11" s="9">
        <v>3</v>
      </c>
      <c r="Z11" s="238">
        <v>5</v>
      </c>
      <c r="AA11" s="254" t="s">
        <v>337</v>
      </c>
      <c r="AC11" s="147" t="s">
        <v>10</v>
      </c>
    </row>
    <row r="12" spans="1:29" ht="14.7" thickBot="1" x14ac:dyDescent="0.6">
      <c r="A12" s="8"/>
      <c r="B12" s="20">
        <v>42857</v>
      </c>
      <c r="C12" s="20" t="s">
        <v>118</v>
      </c>
      <c r="D12" s="92" t="s">
        <v>172</v>
      </c>
      <c r="E12" s="93" t="s">
        <v>115</v>
      </c>
      <c r="F12" s="94"/>
      <c r="G12" s="24">
        <v>930</v>
      </c>
      <c r="H12" s="25"/>
      <c r="I12" s="25"/>
      <c r="J12" s="24"/>
      <c r="K12" s="25"/>
      <c r="L12" s="25"/>
      <c r="M12" s="25"/>
      <c r="N12" s="25">
        <v>930</v>
      </c>
      <c r="O12" s="25"/>
      <c r="P12" s="25"/>
      <c r="Q12" s="25"/>
      <c r="R12" s="25"/>
      <c r="S12" s="25"/>
      <c r="T12" s="25"/>
      <c r="U12" s="25"/>
      <c r="V12" s="56">
        <f t="shared" si="0"/>
        <v>0</v>
      </c>
      <c r="W12" s="146" t="s">
        <v>12</v>
      </c>
      <c r="X12" s="9">
        <v>10</v>
      </c>
      <c r="Z12" s="238">
        <v>6</v>
      </c>
      <c r="AA12" s="242" t="s">
        <v>294</v>
      </c>
      <c r="AC12" s="147" t="s">
        <v>304</v>
      </c>
    </row>
    <row r="13" spans="1:29" x14ac:dyDescent="0.55000000000000004">
      <c r="A13" s="8"/>
      <c r="B13" s="20">
        <v>42850</v>
      </c>
      <c r="C13" s="20" t="s">
        <v>120</v>
      </c>
      <c r="D13" s="92" t="s">
        <v>8</v>
      </c>
      <c r="E13" s="93"/>
      <c r="F13" s="94">
        <v>19189</v>
      </c>
      <c r="G13" s="24"/>
      <c r="H13" s="25">
        <v>19189</v>
      </c>
      <c r="I13" s="25"/>
      <c r="J13" s="24">
        <v>19189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56">
        <f t="shared" si="0"/>
        <v>0</v>
      </c>
      <c r="W13" s="146" t="s">
        <v>5</v>
      </c>
      <c r="X13" s="9">
        <v>1</v>
      </c>
      <c r="Z13" s="227"/>
      <c r="AA13" s="243" t="s">
        <v>98</v>
      </c>
      <c r="AC13" s="147" t="s">
        <v>5</v>
      </c>
    </row>
    <row r="14" spans="1:29" x14ac:dyDescent="0.55000000000000004">
      <c r="A14" s="8"/>
      <c r="B14" s="20">
        <v>42871</v>
      </c>
      <c r="C14" s="20" t="s">
        <v>119</v>
      </c>
      <c r="D14" s="92" t="s">
        <v>123</v>
      </c>
      <c r="E14" s="93" t="s">
        <v>112</v>
      </c>
      <c r="F14" s="94"/>
      <c r="G14" s="24">
        <v>28.2</v>
      </c>
      <c r="H14" s="25"/>
      <c r="I14" s="25"/>
      <c r="J14" s="24"/>
      <c r="K14" s="25">
        <v>4.7</v>
      </c>
      <c r="L14" s="25"/>
      <c r="M14" s="25"/>
      <c r="N14" s="25"/>
      <c r="O14" s="25"/>
      <c r="P14" s="25"/>
      <c r="Q14" s="25"/>
      <c r="R14" s="25"/>
      <c r="S14" s="25">
        <v>23.5</v>
      </c>
      <c r="T14" s="25"/>
      <c r="U14" s="25"/>
      <c r="V14" s="56">
        <f t="shared" si="0"/>
        <v>0</v>
      </c>
      <c r="W14" s="146" t="s">
        <v>300</v>
      </c>
      <c r="X14" s="9">
        <v>4</v>
      </c>
      <c r="Z14" s="227">
        <v>1</v>
      </c>
      <c r="AA14" s="244" t="s">
        <v>135</v>
      </c>
      <c r="AC14" s="148"/>
    </row>
    <row r="15" spans="1:29" x14ac:dyDescent="0.55000000000000004">
      <c r="A15" s="8"/>
      <c r="B15" s="20">
        <v>42835</v>
      </c>
      <c r="C15" s="20" t="s">
        <v>121</v>
      </c>
      <c r="D15" s="92" t="s">
        <v>50</v>
      </c>
      <c r="E15" s="93"/>
      <c r="F15" s="94">
        <v>0.66</v>
      </c>
      <c r="G15" s="24"/>
      <c r="H15" s="25"/>
      <c r="I15" s="25">
        <v>0.66</v>
      </c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56">
        <f t="shared" si="0"/>
        <v>0</v>
      </c>
      <c r="W15" s="146" t="s">
        <v>5</v>
      </c>
      <c r="X15" s="9">
        <v>3</v>
      </c>
      <c r="Z15" s="227">
        <v>2</v>
      </c>
      <c r="AA15" s="241" t="s">
        <v>136</v>
      </c>
    </row>
    <row r="16" spans="1:29" x14ac:dyDescent="0.55000000000000004">
      <c r="A16" s="8"/>
      <c r="B16" s="20">
        <v>42864</v>
      </c>
      <c r="C16" s="20" t="s">
        <v>122</v>
      </c>
      <c r="D16" s="92" t="s">
        <v>50</v>
      </c>
      <c r="E16" s="93"/>
      <c r="F16" s="94">
        <v>0.8</v>
      </c>
      <c r="G16" s="24"/>
      <c r="H16" s="25"/>
      <c r="I16" s="25">
        <v>0.8</v>
      </c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56">
        <f t="shared" si="0"/>
        <v>0</v>
      </c>
      <c r="W16" s="146" t="s">
        <v>5</v>
      </c>
      <c r="X16" s="9">
        <v>3</v>
      </c>
      <c r="Z16" s="227">
        <v>3</v>
      </c>
      <c r="AA16" s="241" t="s">
        <v>137</v>
      </c>
      <c r="AC16" s="146" t="s">
        <v>302</v>
      </c>
    </row>
    <row r="17" spans="1:29" x14ac:dyDescent="0.55000000000000004">
      <c r="A17" s="8"/>
      <c r="B17" s="20">
        <v>42877</v>
      </c>
      <c r="C17" s="20" t="s">
        <v>173</v>
      </c>
      <c r="D17" s="92" t="s">
        <v>168</v>
      </c>
      <c r="E17" s="93" t="s">
        <v>115</v>
      </c>
      <c r="F17" s="94"/>
      <c r="G17" s="24">
        <v>1020</v>
      </c>
      <c r="H17" s="25"/>
      <c r="I17" s="25"/>
      <c r="J17" s="24"/>
      <c r="K17" s="25">
        <v>170</v>
      </c>
      <c r="L17" s="25"/>
      <c r="M17" s="25"/>
      <c r="N17" s="25">
        <v>850</v>
      </c>
      <c r="O17" s="25"/>
      <c r="P17" s="25"/>
      <c r="Q17" s="25"/>
      <c r="R17" s="25"/>
      <c r="S17" s="25"/>
      <c r="T17" s="25"/>
      <c r="U17" s="25"/>
      <c r="V17" s="56">
        <f t="shared" si="0"/>
        <v>0</v>
      </c>
      <c r="W17" s="146" t="s">
        <v>12</v>
      </c>
      <c r="Z17" s="227">
        <v>4</v>
      </c>
      <c r="AA17" s="241" t="s">
        <v>138</v>
      </c>
      <c r="AC17" s="9">
        <v>1</v>
      </c>
    </row>
    <row r="18" spans="1:29" x14ac:dyDescent="0.55000000000000004">
      <c r="A18" s="8"/>
      <c r="B18" s="20">
        <v>42873</v>
      </c>
      <c r="C18" s="20" t="s">
        <v>174</v>
      </c>
      <c r="D18" s="92" t="s">
        <v>175</v>
      </c>
      <c r="E18" s="93" t="s">
        <v>115</v>
      </c>
      <c r="F18" s="94"/>
      <c r="G18" s="24">
        <v>108.79</v>
      </c>
      <c r="H18" s="25"/>
      <c r="I18" s="25"/>
      <c r="J18" s="24"/>
      <c r="K18" s="25">
        <v>18.13</v>
      </c>
      <c r="L18" s="25"/>
      <c r="M18" s="25"/>
      <c r="N18" s="25"/>
      <c r="O18" s="25"/>
      <c r="P18" s="25"/>
      <c r="Q18" s="25"/>
      <c r="R18" s="25"/>
      <c r="S18" s="25">
        <v>90.66</v>
      </c>
      <c r="T18" s="25"/>
      <c r="U18" s="25"/>
      <c r="V18" s="56">
        <f t="shared" si="0"/>
        <v>0</v>
      </c>
      <c r="W18" s="146" t="s">
        <v>299</v>
      </c>
      <c r="X18" s="9">
        <v>1</v>
      </c>
      <c r="Z18" s="227">
        <v>5</v>
      </c>
      <c r="AA18" s="241" t="s">
        <v>139</v>
      </c>
      <c r="AC18" s="9">
        <v>2</v>
      </c>
    </row>
    <row r="19" spans="1:29" x14ac:dyDescent="0.55000000000000004">
      <c r="A19" s="8"/>
      <c r="B19" s="20">
        <v>42873</v>
      </c>
      <c r="C19" s="20" t="s">
        <v>176</v>
      </c>
      <c r="D19" s="92" t="s">
        <v>169</v>
      </c>
      <c r="E19" s="93" t="s">
        <v>115</v>
      </c>
      <c r="F19" s="94"/>
      <c r="G19" s="24">
        <v>425.65</v>
      </c>
      <c r="H19" s="25"/>
      <c r="I19" s="25"/>
      <c r="J19" s="24"/>
      <c r="K19" s="25"/>
      <c r="L19" s="25">
        <v>253.86</v>
      </c>
      <c r="M19" s="25">
        <v>171.79</v>
      </c>
      <c r="N19" s="25"/>
      <c r="O19" s="25"/>
      <c r="P19" s="25"/>
      <c r="Q19" s="25"/>
      <c r="R19" s="25"/>
      <c r="S19" s="25"/>
      <c r="T19" s="25"/>
      <c r="U19" s="25"/>
      <c r="V19" s="56">
        <f t="shared" si="0"/>
        <v>0</v>
      </c>
      <c r="W19" s="146" t="s">
        <v>300</v>
      </c>
      <c r="X19" s="9">
        <v>1</v>
      </c>
      <c r="Z19" s="227">
        <v>6</v>
      </c>
      <c r="AA19" s="241" t="s">
        <v>149</v>
      </c>
      <c r="AC19" s="9">
        <v>3</v>
      </c>
    </row>
    <row r="20" spans="1:29" x14ac:dyDescent="0.55000000000000004">
      <c r="A20" s="8"/>
      <c r="B20" s="20">
        <v>42873</v>
      </c>
      <c r="C20" s="20" t="s">
        <v>177</v>
      </c>
      <c r="D20" s="92" t="s">
        <v>170</v>
      </c>
      <c r="E20" s="93" t="s">
        <v>115</v>
      </c>
      <c r="F20" s="94"/>
      <c r="G20" s="24">
        <v>32.4</v>
      </c>
      <c r="H20" s="25"/>
      <c r="I20" s="25"/>
      <c r="J20" s="24"/>
      <c r="K20" s="25"/>
      <c r="L20" s="25">
        <v>32.4</v>
      </c>
      <c r="M20" s="25"/>
      <c r="N20" s="25"/>
      <c r="O20" s="25"/>
      <c r="P20" s="25"/>
      <c r="Q20" s="25"/>
      <c r="R20" s="25"/>
      <c r="S20" s="25"/>
      <c r="T20" s="25"/>
      <c r="U20" s="25"/>
      <c r="V20" s="56">
        <f t="shared" si="0"/>
        <v>0</v>
      </c>
      <c r="W20" s="146" t="s">
        <v>300</v>
      </c>
      <c r="X20" s="9">
        <v>1</v>
      </c>
      <c r="Z20" s="227">
        <v>7</v>
      </c>
      <c r="AA20" s="241" t="s">
        <v>150</v>
      </c>
      <c r="AC20" s="9">
        <v>4</v>
      </c>
    </row>
    <row r="21" spans="1:29" x14ac:dyDescent="0.55000000000000004">
      <c r="A21" s="8"/>
      <c r="B21" s="20">
        <v>42877</v>
      </c>
      <c r="C21" s="20" t="s">
        <v>178</v>
      </c>
      <c r="D21" s="92" t="s">
        <v>179</v>
      </c>
      <c r="E21" s="93" t="s">
        <v>115</v>
      </c>
      <c r="F21" s="94"/>
      <c r="G21" s="24">
        <v>409.39</v>
      </c>
      <c r="H21" s="25"/>
      <c r="I21" s="25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>
        <v>409.39</v>
      </c>
      <c r="U21" s="25"/>
      <c r="V21" s="56">
        <f t="shared" si="0"/>
        <v>0</v>
      </c>
      <c r="W21" s="146" t="s">
        <v>300</v>
      </c>
      <c r="X21" s="9">
        <v>10</v>
      </c>
      <c r="Z21" s="227">
        <v>8</v>
      </c>
      <c r="AA21" s="241" t="s">
        <v>151</v>
      </c>
      <c r="AC21" s="9">
        <v>5</v>
      </c>
    </row>
    <row r="22" spans="1:29" x14ac:dyDescent="0.55000000000000004">
      <c r="A22" s="8"/>
      <c r="B22" s="20">
        <v>42890</v>
      </c>
      <c r="C22" s="20" t="s">
        <v>180</v>
      </c>
      <c r="D22" s="92" t="s">
        <v>181</v>
      </c>
      <c r="E22" s="93" t="s">
        <v>115</v>
      </c>
      <c r="F22" s="94"/>
      <c r="G22" s="24">
        <v>602.5</v>
      </c>
      <c r="H22" s="25"/>
      <c r="I22" s="25"/>
      <c r="J22" s="24"/>
      <c r="K22" s="25">
        <v>100.42</v>
      </c>
      <c r="L22" s="25"/>
      <c r="M22" s="25"/>
      <c r="N22" s="25">
        <v>502.08</v>
      </c>
      <c r="O22" s="25"/>
      <c r="P22" s="25"/>
      <c r="Q22" s="25"/>
      <c r="R22" s="25"/>
      <c r="S22" s="25"/>
      <c r="T22" s="25"/>
      <c r="U22" s="25"/>
      <c r="V22" s="56">
        <f t="shared" si="0"/>
        <v>0</v>
      </c>
      <c r="W22" s="146" t="s">
        <v>12</v>
      </c>
      <c r="X22" s="9">
        <v>11</v>
      </c>
      <c r="Z22" s="227">
        <v>9</v>
      </c>
      <c r="AA22" s="241" t="s">
        <v>141</v>
      </c>
      <c r="AC22" s="9">
        <v>6</v>
      </c>
    </row>
    <row r="23" spans="1:29" x14ac:dyDescent="0.55000000000000004">
      <c r="A23" s="8"/>
      <c r="B23" s="20">
        <v>42890</v>
      </c>
      <c r="C23" s="20" t="s">
        <v>182</v>
      </c>
      <c r="D23" s="92" t="s">
        <v>183</v>
      </c>
      <c r="E23" s="93" t="s">
        <v>115</v>
      </c>
      <c r="F23" s="94"/>
      <c r="G23" s="24">
        <v>135</v>
      </c>
      <c r="H23" s="25"/>
      <c r="I23" s="25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>
        <v>135</v>
      </c>
      <c r="U23" s="25"/>
      <c r="V23" s="56">
        <f t="shared" si="0"/>
        <v>0</v>
      </c>
      <c r="W23" s="146" t="s">
        <v>304</v>
      </c>
      <c r="X23" s="9">
        <v>1</v>
      </c>
      <c r="Z23" s="227">
        <v>10</v>
      </c>
      <c r="AA23" s="241" t="s">
        <v>167</v>
      </c>
      <c r="AC23" s="9">
        <v>7</v>
      </c>
    </row>
    <row r="24" spans="1:29" x14ac:dyDescent="0.55000000000000004">
      <c r="A24" s="8"/>
      <c r="B24" s="20">
        <v>42892</v>
      </c>
      <c r="C24" s="20" t="s">
        <v>184</v>
      </c>
      <c r="D24" s="92" t="s">
        <v>185</v>
      </c>
      <c r="E24" s="93" t="s">
        <v>115</v>
      </c>
      <c r="F24" s="94"/>
      <c r="G24" s="24">
        <v>1200</v>
      </c>
      <c r="H24" s="25"/>
      <c r="I24" s="25"/>
      <c r="J24" s="24"/>
      <c r="K24" s="25"/>
      <c r="L24" s="25"/>
      <c r="M24" s="25"/>
      <c r="N24" s="25"/>
      <c r="O24" s="25"/>
      <c r="P24" s="25"/>
      <c r="Q24" s="25">
        <v>1200</v>
      </c>
      <c r="R24" s="25"/>
      <c r="S24" s="25"/>
      <c r="T24" s="25"/>
      <c r="U24" s="25"/>
      <c r="V24" s="56">
        <f t="shared" si="0"/>
        <v>0</v>
      </c>
      <c r="W24" s="146" t="s">
        <v>14</v>
      </c>
      <c r="X24" s="9">
        <v>1</v>
      </c>
      <c r="Z24" s="227">
        <v>11</v>
      </c>
      <c r="AA24" s="241" t="s">
        <v>295</v>
      </c>
      <c r="AC24" s="9">
        <v>8</v>
      </c>
    </row>
    <row r="25" spans="1:29" ht="14.7" thickBot="1" x14ac:dyDescent="0.6">
      <c r="A25" s="8"/>
      <c r="B25" s="20">
        <v>42892</v>
      </c>
      <c r="C25" s="20" t="s">
        <v>186</v>
      </c>
      <c r="D25" s="92" t="s">
        <v>187</v>
      </c>
      <c r="E25" s="93" t="s">
        <v>115</v>
      </c>
      <c r="F25" s="94"/>
      <c r="G25" s="24">
        <v>43.21</v>
      </c>
      <c r="H25" s="25"/>
      <c r="I25" s="25"/>
      <c r="J25" s="24"/>
      <c r="K25" s="25"/>
      <c r="L25" s="25"/>
      <c r="M25" s="25"/>
      <c r="N25" s="25"/>
      <c r="O25" s="25">
        <v>43.21</v>
      </c>
      <c r="P25" s="25"/>
      <c r="Q25" s="25"/>
      <c r="R25" s="25"/>
      <c r="S25" s="25"/>
      <c r="T25" s="25"/>
      <c r="U25" s="25"/>
      <c r="V25" s="56">
        <f t="shared" si="0"/>
        <v>0</v>
      </c>
      <c r="W25" s="146" t="s">
        <v>12</v>
      </c>
      <c r="X25" s="9">
        <v>2</v>
      </c>
      <c r="Z25" s="227">
        <v>12</v>
      </c>
      <c r="AA25" s="269" t="s">
        <v>326</v>
      </c>
      <c r="AC25" s="9">
        <v>9</v>
      </c>
    </row>
    <row r="26" spans="1:29" x14ac:dyDescent="0.55000000000000004">
      <c r="A26" s="8"/>
      <c r="B26" s="20">
        <v>42895</v>
      </c>
      <c r="C26" s="20" t="s">
        <v>188</v>
      </c>
      <c r="D26" s="92" t="s">
        <v>50</v>
      </c>
      <c r="E26" s="93"/>
      <c r="F26" s="94">
        <v>1.2</v>
      </c>
      <c r="G26" s="24"/>
      <c r="H26" s="25"/>
      <c r="I26" s="25">
        <v>1.2</v>
      </c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56">
        <f t="shared" si="0"/>
        <v>0</v>
      </c>
      <c r="W26" s="146" t="s">
        <v>5</v>
      </c>
      <c r="X26" s="9">
        <v>3</v>
      </c>
      <c r="Z26" s="234"/>
      <c r="AA26" s="245" t="s">
        <v>97</v>
      </c>
      <c r="AC26" s="9">
        <v>10</v>
      </c>
    </row>
    <row r="27" spans="1:29" x14ac:dyDescent="0.55000000000000004">
      <c r="A27" s="8"/>
      <c r="B27" s="20">
        <v>42901</v>
      </c>
      <c r="C27" s="20" t="s">
        <v>189</v>
      </c>
      <c r="D27" s="92" t="s">
        <v>190</v>
      </c>
      <c r="E27" s="93" t="s">
        <v>115</v>
      </c>
      <c r="F27" s="94"/>
      <c r="G27" s="24">
        <v>150</v>
      </c>
      <c r="H27" s="25"/>
      <c r="I27" s="25"/>
      <c r="J27" s="24"/>
      <c r="K27" s="25"/>
      <c r="L27" s="25"/>
      <c r="M27" s="25"/>
      <c r="N27" s="25"/>
      <c r="O27" s="25">
        <v>150</v>
      </c>
      <c r="P27" s="25"/>
      <c r="Q27" s="25"/>
      <c r="R27" s="25"/>
      <c r="S27" s="25"/>
      <c r="T27" s="25"/>
      <c r="U27" s="25"/>
      <c r="V27" s="56">
        <f t="shared" si="0"/>
        <v>0</v>
      </c>
      <c r="W27" s="146" t="s">
        <v>12</v>
      </c>
      <c r="X27" s="9">
        <v>2</v>
      </c>
      <c r="Z27" s="234">
        <v>1</v>
      </c>
      <c r="AA27" s="241" t="s">
        <v>87</v>
      </c>
      <c r="AC27" s="9">
        <v>11</v>
      </c>
    </row>
    <row r="28" spans="1:29" x14ac:dyDescent="0.55000000000000004">
      <c r="A28" s="8"/>
      <c r="B28" s="20">
        <v>42902</v>
      </c>
      <c r="C28" s="20" t="s">
        <v>191</v>
      </c>
      <c r="D28" s="92" t="s">
        <v>123</v>
      </c>
      <c r="E28" s="93" t="s">
        <v>112</v>
      </c>
      <c r="F28" s="94"/>
      <c r="G28" s="24">
        <v>28.2</v>
      </c>
      <c r="H28" s="25"/>
      <c r="I28" s="25"/>
      <c r="J28" s="24"/>
      <c r="K28" s="25">
        <v>4.7</v>
      </c>
      <c r="L28" s="25"/>
      <c r="M28" s="25"/>
      <c r="N28" s="25"/>
      <c r="O28" s="25"/>
      <c r="P28" s="25"/>
      <c r="Q28" s="25"/>
      <c r="R28" s="25"/>
      <c r="S28" s="25">
        <v>23.5</v>
      </c>
      <c r="T28" s="25"/>
      <c r="U28" s="25"/>
      <c r="V28" s="56">
        <f t="shared" si="0"/>
        <v>0</v>
      </c>
      <c r="W28" s="146" t="s">
        <v>5</v>
      </c>
      <c r="X28" s="9">
        <v>3</v>
      </c>
      <c r="Z28" s="234">
        <v>2</v>
      </c>
      <c r="AA28" s="254" t="s">
        <v>15</v>
      </c>
      <c r="AC28" s="9">
        <v>12</v>
      </c>
    </row>
    <row r="29" spans="1:29" ht="14.7" thickBot="1" x14ac:dyDescent="0.6">
      <c r="A29" s="8"/>
      <c r="B29" s="20">
        <v>42908</v>
      </c>
      <c r="C29" s="20" t="s">
        <v>192</v>
      </c>
      <c r="D29" s="92" t="s">
        <v>169</v>
      </c>
      <c r="E29" s="93" t="s">
        <v>115</v>
      </c>
      <c r="F29" s="94"/>
      <c r="G29" s="24">
        <v>267.10000000000002</v>
      </c>
      <c r="H29" s="25"/>
      <c r="I29" s="25"/>
      <c r="J29" s="24"/>
      <c r="K29" s="25"/>
      <c r="L29" s="25">
        <v>267.10000000000002</v>
      </c>
      <c r="M29" s="25"/>
      <c r="N29" s="25"/>
      <c r="O29" s="25"/>
      <c r="P29" s="25"/>
      <c r="Q29" s="25"/>
      <c r="R29" s="25"/>
      <c r="S29" s="25"/>
      <c r="T29" s="25"/>
      <c r="U29" s="25"/>
      <c r="V29" s="56">
        <f t="shared" si="0"/>
        <v>0</v>
      </c>
      <c r="W29" s="146" t="s">
        <v>300</v>
      </c>
      <c r="X29" s="9">
        <v>1</v>
      </c>
      <c r="Z29" s="234">
        <v>3</v>
      </c>
      <c r="AA29" s="242" t="s">
        <v>308</v>
      </c>
      <c r="AC29" s="9">
        <v>13</v>
      </c>
    </row>
    <row r="30" spans="1:29" x14ac:dyDescent="0.55000000000000004">
      <c r="A30" s="8"/>
      <c r="B30" s="20">
        <v>42908</v>
      </c>
      <c r="C30" s="20" t="s">
        <v>193</v>
      </c>
      <c r="D30" s="92" t="s">
        <v>170</v>
      </c>
      <c r="E30" s="93" t="s">
        <v>115</v>
      </c>
      <c r="F30" s="94"/>
      <c r="G30" s="24">
        <v>45.2</v>
      </c>
      <c r="H30" s="25"/>
      <c r="I30" s="25"/>
      <c r="J30" s="24"/>
      <c r="K30" s="25"/>
      <c r="L30" s="25">
        <v>45.2</v>
      </c>
      <c r="M30" s="25"/>
      <c r="N30" s="25"/>
      <c r="O30" s="25"/>
      <c r="P30" s="25"/>
      <c r="Q30" s="25"/>
      <c r="R30" s="25"/>
      <c r="S30" s="25"/>
      <c r="T30" s="25"/>
      <c r="U30" s="25"/>
      <c r="V30" s="56">
        <f t="shared" si="0"/>
        <v>0</v>
      </c>
      <c r="W30" s="146" t="s">
        <v>300</v>
      </c>
      <c r="X30" s="9">
        <v>1</v>
      </c>
      <c r="Z30" s="229"/>
      <c r="AA30" s="246" t="s">
        <v>96</v>
      </c>
      <c r="AC30" s="9">
        <v>14</v>
      </c>
    </row>
    <row r="31" spans="1:29" x14ac:dyDescent="0.55000000000000004">
      <c r="A31" s="8"/>
      <c r="B31" s="20">
        <v>42913</v>
      </c>
      <c r="C31" s="20" t="s">
        <v>194</v>
      </c>
      <c r="D31" s="92" t="s">
        <v>195</v>
      </c>
      <c r="E31" s="93" t="s">
        <v>115</v>
      </c>
      <c r="F31" s="94"/>
      <c r="G31" s="24">
        <v>78</v>
      </c>
      <c r="H31" s="25"/>
      <c r="I31" s="25"/>
      <c r="J31" s="24"/>
      <c r="K31" s="25"/>
      <c r="L31" s="25"/>
      <c r="M31" s="25"/>
      <c r="N31" s="25"/>
      <c r="O31" s="25"/>
      <c r="P31" s="25"/>
      <c r="Q31" s="25"/>
      <c r="R31" s="25">
        <v>78</v>
      </c>
      <c r="S31" s="25"/>
      <c r="T31" s="25"/>
      <c r="U31" s="25"/>
      <c r="V31" s="56">
        <f t="shared" si="0"/>
        <v>0</v>
      </c>
      <c r="W31" s="146" t="s">
        <v>10</v>
      </c>
      <c r="X31" s="9">
        <v>2</v>
      </c>
      <c r="Z31" s="230">
        <v>1</v>
      </c>
      <c r="AA31" s="244" t="s">
        <v>11</v>
      </c>
      <c r="AC31" s="9">
        <v>15</v>
      </c>
    </row>
    <row r="32" spans="1:29" x14ac:dyDescent="0.55000000000000004">
      <c r="A32" s="8"/>
      <c r="B32" s="20">
        <v>42886</v>
      </c>
      <c r="C32" s="20" t="s">
        <v>196</v>
      </c>
      <c r="D32" s="92" t="s">
        <v>50</v>
      </c>
      <c r="E32" s="93"/>
      <c r="F32" s="94">
        <v>1.1100000000000001</v>
      </c>
      <c r="G32" s="24"/>
      <c r="H32" s="25"/>
      <c r="I32" s="25">
        <v>1.1100000000000001</v>
      </c>
      <c r="J32" s="2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56">
        <f t="shared" si="0"/>
        <v>0</v>
      </c>
      <c r="W32" s="146" t="s">
        <v>5</v>
      </c>
      <c r="X32" s="9">
        <v>3</v>
      </c>
      <c r="Z32" s="229">
        <v>2</v>
      </c>
      <c r="AA32" s="244" t="s">
        <v>17</v>
      </c>
    </row>
    <row r="33" spans="1:27" x14ac:dyDescent="0.55000000000000004">
      <c r="A33" s="8"/>
      <c r="B33" s="20">
        <v>42892</v>
      </c>
      <c r="C33" s="20" t="s">
        <v>197</v>
      </c>
      <c r="D33" s="92" t="s">
        <v>198</v>
      </c>
      <c r="E33" s="93" t="s">
        <v>115</v>
      </c>
      <c r="F33" s="94"/>
      <c r="G33" s="24">
        <v>240</v>
      </c>
      <c r="H33" s="25"/>
      <c r="I33" s="25"/>
      <c r="J33" s="24"/>
      <c r="K33" s="25"/>
      <c r="L33" s="25"/>
      <c r="M33" s="25"/>
      <c r="N33" s="25"/>
      <c r="O33" s="25">
        <v>240</v>
      </c>
      <c r="P33" s="25"/>
      <c r="Q33" s="25"/>
      <c r="R33" s="25"/>
      <c r="S33" s="25"/>
      <c r="T33" s="25"/>
      <c r="U33" s="25"/>
      <c r="V33" s="56">
        <f t="shared" si="0"/>
        <v>0</v>
      </c>
      <c r="W33" s="146" t="s">
        <v>12</v>
      </c>
      <c r="X33" s="9">
        <v>2</v>
      </c>
      <c r="Z33" s="229">
        <v>3</v>
      </c>
      <c r="AA33" s="241" t="s">
        <v>153</v>
      </c>
    </row>
    <row r="34" spans="1:27" x14ac:dyDescent="0.55000000000000004">
      <c r="A34" s="8"/>
      <c r="B34" s="20">
        <v>42916</v>
      </c>
      <c r="C34" s="20" t="s">
        <v>202</v>
      </c>
      <c r="D34" s="92" t="s">
        <v>50</v>
      </c>
      <c r="E34" s="93"/>
      <c r="F34" s="94">
        <v>1.01</v>
      </c>
      <c r="G34" s="24"/>
      <c r="H34" s="25"/>
      <c r="I34" s="25">
        <v>1.01</v>
      </c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56">
        <f t="shared" si="0"/>
        <v>0</v>
      </c>
      <c r="W34" s="146" t="s">
        <v>5</v>
      </c>
      <c r="X34" s="9">
        <v>3</v>
      </c>
      <c r="Z34" s="229">
        <v>4</v>
      </c>
      <c r="AA34" s="241" t="s">
        <v>305</v>
      </c>
    </row>
    <row r="35" spans="1:27" x14ac:dyDescent="0.55000000000000004">
      <c r="A35" s="8"/>
      <c r="B35" s="20">
        <v>42937</v>
      </c>
      <c r="C35" s="20" t="s">
        <v>203</v>
      </c>
      <c r="D35" s="92" t="s">
        <v>204</v>
      </c>
      <c r="E35" s="93" t="s">
        <v>115</v>
      </c>
      <c r="F35" s="94"/>
      <c r="G35" s="24">
        <v>100</v>
      </c>
      <c r="H35" s="25"/>
      <c r="I35" s="25"/>
      <c r="J35" s="24"/>
      <c r="K35" s="25"/>
      <c r="L35" s="25"/>
      <c r="M35" s="25">
        <v>100</v>
      </c>
      <c r="N35" s="25"/>
      <c r="O35" s="25"/>
      <c r="P35" s="25"/>
      <c r="Q35" s="25"/>
      <c r="R35" s="25"/>
      <c r="S35" s="25"/>
      <c r="T35" s="25"/>
      <c r="U35" s="25"/>
      <c r="V35" s="56">
        <f t="shared" si="0"/>
        <v>0</v>
      </c>
      <c r="W35" s="146" t="s">
        <v>300</v>
      </c>
      <c r="X35" s="9">
        <v>6</v>
      </c>
      <c r="Z35" s="229">
        <v>5</v>
      </c>
      <c r="AA35" s="241" t="s">
        <v>154</v>
      </c>
    </row>
    <row r="36" spans="1:27" x14ac:dyDescent="0.55000000000000004">
      <c r="A36" s="8"/>
      <c r="B36" s="20">
        <v>42937</v>
      </c>
      <c r="C36" s="20" t="s">
        <v>205</v>
      </c>
      <c r="D36" s="92" t="s">
        <v>206</v>
      </c>
      <c r="E36" s="93" t="s">
        <v>115</v>
      </c>
      <c r="F36" s="94"/>
      <c r="G36" s="24">
        <v>230.39</v>
      </c>
      <c r="H36" s="25"/>
      <c r="I36" s="25"/>
      <c r="J36" s="24"/>
      <c r="K36" s="25"/>
      <c r="L36" s="25"/>
      <c r="M36" s="25"/>
      <c r="N36" s="25"/>
      <c r="O36" s="25"/>
      <c r="P36" s="25"/>
      <c r="Q36" s="25"/>
      <c r="R36" s="25"/>
      <c r="S36" s="25">
        <v>230.39</v>
      </c>
      <c r="T36" s="25"/>
      <c r="U36" s="25"/>
      <c r="V36" s="56">
        <f t="shared" si="0"/>
        <v>0</v>
      </c>
      <c r="W36" s="146" t="s">
        <v>300</v>
      </c>
      <c r="X36" s="9">
        <v>11</v>
      </c>
      <c r="Z36" s="229">
        <v>6</v>
      </c>
      <c r="AA36" s="241" t="s">
        <v>155</v>
      </c>
    </row>
    <row r="37" spans="1:27" x14ac:dyDescent="0.55000000000000004">
      <c r="A37" s="8"/>
      <c r="B37" s="20">
        <v>42937</v>
      </c>
      <c r="C37" s="20" t="s">
        <v>207</v>
      </c>
      <c r="D37" s="92" t="s">
        <v>169</v>
      </c>
      <c r="E37" s="93" t="s">
        <v>115</v>
      </c>
      <c r="F37" s="94"/>
      <c r="G37" s="24">
        <v>207.58</v>
      </c>
      <c r="H37" s="25"/>
      <c r="I37" s="25"/>
      <c r="J37" s="24"/>
      <c r="K37" s="25"/>
      <c r="L37" s="25">
        <v>207.58</v>
      </c>
      <c r="M37" s="25"/>
      <c r="N37" s="25"/>
      <c r="O37" s="25"/>
      <c r="P37" s="25"/>
      <c r="Q37" s="25"/>
      <c r="R37" s="25"/>
      <c r="S37" s="25"/>
      <c r="T37" s="25"/>
      <c r="U37" s="25"/>
      <c r="V37" s="56">
        <f t="shared" si="0"/>
        <v>0</v>
      </c>
      <c r="W37" s="146" t="s">
        <v>300</v>
      </c>
      <c r="X37" s="9">
        <v>1</v>
      </c>
      <c r="Z37" s="229">
        <v>7</v>
      </c>
      <c r="AA37" s="241" t="s">
        <v>23</v>
      </c>
    </row>
    <row r="38" spans="1:27" x14ac:dyDescent="0.55000000000000004">
      <c r="A38" s="8"/>
      <c r="B38" s="20">
        <v>42937</v>
      </c>
      <c r="C38" s="20" t="s">
        <v>208</v>
      </c>
      <c r="D38" s="92" t="s">
        <v>170</v>
      </c>
      <c r="E38" s="93" t="s">
        <v>115</v>
      </c>
      <c r="F38" s="94"/>
      <c r="G38" s="24">
        <v>22</v>
      </c>
      <c r="H38" s="25"/>
      <c r="I38" s="25"/>
      <c r="J38" s="24"/>
      <c r="K38" s="25"/>
      <c r="L38" s="25">
        <v>22</v>
      </c>
      <c r="M38" s="25"/>
      <c r="N38" s="25"/>
      <c r="O38" s="25"/>
      <c r="P38" s="25"/>
      <c r="Q38" s="25"/>
      <c r="R38" s="25"/>
      <c r="S38" s="25"/>
      <c r="T38" s="25"/>
      <c r="U38" s="25"/>
      <c r="V38" s="56">
        <f t="shared" si="0"/>
        <v>0</v>
      </c>
      <c r="W38" s="146" t="s">
        <v>300</v>
      </c>
      <c r="X38" s="9">
        <v>1</v>
      </c>
      <c r="Z38" s="229">
        <v>8</v>
      </c>
      <c r="AA38" s="241" t="s">
        <v>88</v>
      </c>
    </row>
    <row r="39" spans="1:27" x14ac:dyDescent="0.55000000000000004">
      <c r="A39" s="8"/>
      <c r="B39" s="20">
        <v>42937</v>
      </c>
      <c r="C39" s="20" t="s">
        <v>209</v>
      </c>
      <c r="D39" s="92" t="s">
        <v>210</v>
      </c>
      <c r="E39" s="93" t="s">
        <v>115</v>
      </c>
      <c r="F39" s="94"/>
      <c r="G39" s="24">
        <v>720</v>
      </c>
      <c r="H39" s="25"/>
      <c r="I39" s="25"/>
      <c r="J39" s="24"/>
      <c r="K39" s="25">
        <v>120</v>
      </c>
      <c r="L39" s="25"/>
      <c r="M39" s="25"/>
      <c r="N39" s="25">
        <v>600</v>
      </c>
      <c r="O39" s="25">
        <v>0</v>
      </c>
      <c r="P39" s="25"/>
      <c r="Q39" s="25"/>
      <c r="R39" s="25"/>
      <c r="S39" s="25"/>
      <c r="T39" s="25"/>
      <c r="U39" s="25"/>
      <c r="V39" s="56">
        <f t="shared" si="0"/>
        <v>0</v>
      </c>
      <c r="W39" s="146" t="s">
        <v>12</v>
      </c>
      <c r="X39" s="9">
        <v>10</v>
      </c>
      <c r="Z39" s="229">
        <v>9</v>
      </c>
      <c r="AA39" s="241" t="s">
        <v>25</v>
      </c>
    </row>
    <row r="40" spans="1:27" x14ac:dyDescent="0.55000000000000004">
      <c r="A40" s="8"/>
      <c r="B40" s="20">
        <v>42942</v>
      </c>
      <c r="C40" s="20" t="s">
        <v>211</v>
      </c>
      <c r="D40" s="92" t="s">
        <v>212</v>
      </c>
      <c r="E40" s="93" t="s">
        <v>115</v>
      </c>
      <c r="F40" s="94"/>
      <c r="G40" s="24">
        <v>500</v>
      </c>
      <c r="H40" s="25"/>
      <c r="I40" s="25"/>
      <c r="J40" s="24"/>
      <c r="K40" s="25"/>
      <c r="L40" s="25"/>
      <c r="M40" s="25"/>
      <c r="N40" s="25">
        <v>500</v>
      </c>
      <c r="O40" s="25"/>
      <c r="P40" s="25"/>
      <c r="Q40" s="25"/>
      <c r="R40" s="25"/>
      <c r="S40" s="25"/>
      <c r="T40" s="25"/>
      <c r="U40" s="25"/>
      <c r="V40" s="56">
        <f t="shared" si="0"/>
        <v>0</v>
      </c>
      <c r="W40" s="146" t="s">
        <v>299</v>
      </c>
      <c r="X40" s="9">
        <v>1</v>
      </c>
      <c r="Z40" s="229">
        <v>10</v>
      </c>
      <c r="AA40" s="241" t="s">
        <v>2</v>
      </c>
    </row>
    <row r="41" spans="1:27" ht="14.7" thickBot="1" x14ac:dyDescent="0.6">
      <c r="A41" s="8"/>
      <c r="B41" s="20">
        <v>42947</v>
      </c>
      <c r="C41" s="20" t="s">
        <v>216</v>
      </c>
      <c r="D41" s="92" t="s">
        <v>50</v>
      </c>
      <c r="E41" s="93"/>
      <c r="F41" s="94">
        <v>1.04</v>
      </c>
      <c r="G41" s="24"/>
      <c r="H41" s="25"/>
      <c r="I41" s="25">
        <v>1.04</v>
      </c>
      <c r="J41" s="24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56">
        <f t="shared" si="0"/>
        <v>0</v>
      </c>
      <c r="W41" s="146" t="s">
        <v>5</v>
      </c>
      <c r="X41" s="9">
        <v>3</v>
      </c>
      <c r="Z41" s="229">
        <v>11</v>
      </c>
      <c r="AA41" s="242" t="s">
        <v>26</v>
      </c>
    </row>
    <row r="42" spans="1:27" x14ac:dyDescent="0.55000000000000004">
      <c r="A42" s="8"/>
      <c r="B42" s="20">
        <v>42930</v>
      </c>
      <c r="C42" s="20" t="s">
        <v>217</v>
      </c>
      <c r="D42" s="92" t="s">
        <v>123</v>
      </c>
      <c r="E42" s="93" t="s">
        <v>112</v>
      </c>
      <c r="F42" s="94"/>
      <c r="G42" s="24">
        <v>28.2</v>
      </c>
      <c r="H42" s="25"/>
      <c r="I42" s="25"/>
      <c r="J42" s="24"/>
      <c r="K42" s="25">
        <v>4.7</v>
      </c>
      <c r="L42" s="25"/>
      <c r="M42" s="25"/>
      <c r="N42" s="25"/>
      <c r="O42" s="25"/>
      <c r="P42" s="25"/>
      <c r="Q42" s="25"/>
      <c r="R42" s="25"/>
      <c r="S42" s="25">
        <v>23.5</v>
      </c>
      <c r="T42" s="25"/>
      <c r="U42" s="25"/>
      <c r="V42" s="56">
        <f t="shared" si="0"/>
        <v>0</v>
      </c>
      <c r="W42" s="146" t="s">
        <v>300</v>
      </c>
      <c r="X42" s="9">
        <v>4</v>
      </c>
      <c r="Z42" s="232"/>
      <c r="AA42" s="247" t="s">
        <v>95</v>
      </c>
    </row>
    <row r="43" spans="1:27" x14ac:dyDescent="0.55000000000000004">
      <c r="A43" s="8"/>
      <c r="B43" s="20">
        <v>42926</v>
      </c>
      <c r="C43" s="20" t="s">
        <v>218</v>
      </c>
      <c r="D43" s="92" t="s">
        <v>50</v>
      </c>
      <c r="E43" s="93"/>
      <c r="F43" s="94">
        <v>1.0900000000000001</v>
      </c>
      <c r="G43" s="24"/>
      <c r="H43" s="25"/>
      <c r="I43" s="25">
        <v>1.0900000000000001</v>
      </c>
      <c r="J43" s="24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56">
        <f t="shared" si="0"/>
        <v>0</v>
      </c>
      <c r="W43" s="146" t="s">
        <v>5</v>
      </c>
      <c r="X43" s="9">
        <v>3</v>
      </c>
      <c r="Z43" s="225">
        <v>1</v>
      </c>
      <c r="AA43" s="241" t="s">
        <v>18</v>
      </c>
    </row>
    <row r="44" spans="1:27" x14ac:dyDescent="0.55000000000000004">
      <c r="A44" s="8"/>
      <c r="B44" s="20">
        <v>42967</v>
      </c>
      <c r="C44" s="20" t="s">
        <v>219</v>
      </c>
      <c r="D44" s="92" t="s">
        <v>169</v>
      </c>
      <c r="E44" s="93" t="s">
        <v>115</v>
      </c>
      <c r="F44" s="94"/>
      <c r="G44" s="24">
        <v>236.96</v>
      </c>
      <c r="H44" s="25"/>
      <c r="I44" s="25"/>
      <c r="J44" s="24"/>
      <c r="K44" s="25"/>
      <c r="L44" s="25">
        <v>236.96</v>
      </c>
      <c r="M44" s="25"/>
      <c r="N44" s="25"/>
      <c r="O44" s="25"/>
      <c r="P44" s="25"/>
      <c r="Q44" s="25"/>
      <c r="R44" s="25"/>
      <c r="S44" s="25"/>
      <c r="T44" s="25"/>
      <c r="U44" s="25"/>
      <c r="V44" s="56">
        <f t="shared" si="0"/>
        <v>0</v>
      </c>
      <c r="W44" s="146" t="s">
        <v>300</v>
      </c>
      <c r="X44" s="9">
        <v>1</v>
      </c>
      <c r="Z44" s="232">
        <v>2</v>
      </c>
      <c r="AA44" s="241" t="s">
        <v>19</v>
      </c>
    </row>
    <row r="45" spans="1:27" x14ac:dyDescent="0.55000000000000004">
      <c r="A45" s="8"/>
      <c r="B45" s="20">
        <v>42967</v>
      </c>
      <c r="C45" s="20" t="s">
        <v>220</v>
      </c>
      <c r="D45" s="92" t="s">
        <v>170</v>
      </c>
      <c r="E45" s="93" t="s">
        <v>115</v>
      </c>
      <c r="F45" s="94"/>
      <c r="G45" s="24">
        <v>37.6</v>
      </c>
      <c r="H45" s="25"/>
      <c r="I45" s="25"/>
      <c r="J45" s="24"/>
      <c r="K45" s="25"/>
      <c r="L45" s="25">
        <v>37.6</v>
      </c>
      <c r="M45" s="25"/>
      <c r="N45" s="25"/>
      <c r="O45" s="25"/>
      <c r="P45" s="25"/>
      <c r="Q45" s="25"/>
      <c r="R45" s="25"/>
      <c r="S45" s="25"/>
      <c r="T45" s="25"/>
      <c r="U45" s="25"/>
      <c r="V45" s="56">
        <f t="shared" si="0"/>
        <v>0</v>
      </c>
      <c r="W45" s="146" t="s">
        <v>300</v>
      </c>
      <c r="X45" s="9">
        <v>1</v>
      </c>
      <c r="Z45" s="232">
        <v>3</v>
      </c>
      <c r="AA45" s="241" t="s">
        <v>20</v>
      </c>
    </row>
    <row r="46" spans="1:27" x14ac:dyDescent="0.55000000000000004">
      <c r="A46" s="8"/>
      <c r="B46" s="20">
        <v>42967</v>
      </c>
      <c r="C46" s="20" t="s">
        <v>221</v>
      </c>
      <c r="D46" s="92" t="s">
        <v>222</v>
      </c>
      <c r="E46" s="93" t="s">
        <v>115</v>
      </c>
      <c r="F46" s="94"/>
      <c r="G46" s="24">
        <v>940</v>
      </c>
      <c r="H46" s="25"/>
      <c r="I46" s="25"/>
      <c r="J46" s="24"/>
      <c r="K46" s="25"/>
      <c r="L46" s="25"/>
      <c r="M46" s="25"/>
      <c r="N46" s="253">
        <v>940</v>
      </c>
      <c r="O46" s="25"/>
      <c r="P46" s="25"/>
      <c r="Q46" s="25"/>
      <c r="R46" s="25"/>
      <c r="S46" s="25"/>
      <c r="T46" s="25"/>
      <c r="U46" s="25"/>
      <c r="V46" s="56">
        <f t="shared" si="0"/>
        <v>0</v>
      </c>
      <c r="W46" s="292" t="s">
        <v>14</v>
      </c>
      <c r="X46" s="9">
        <v>11</v>
      </c>
      <c r="Z46" s="232">
        <v>4</v>
      </c>
      <c r="AA46" s="241" t="s">
        <v>21</v>
      </c>
    </row>
    <row r="47" spans="1:27" x14ac:dyDescent="0.55000000000000004">
      <c r="A47" s="8"/>
      <c r="B47" s="20">
        <v>42967</v>
      </c>
      <c r="C47" s="20" t="s">
        <v>223</v>
      </c>
      <c r="D47" s="92" t="s">
        <v>215</v>
      </c>
      <c r="E47" s="93" t="s">
        <v>115</v>
      </c>
      <c r="F47" s="94"/>
      <c r="G47" s="24">
        <v>1000</v>
      </c>
      <c r="H47" s="25"/>
      <c r="I47" s="25"/>
      <c r="J47" s="24"/>
      <c r="K47" s="25"/>
      <c r="L47" s="25"/>
      <c r="M47" s="25"/>
      <c r="N47" s="25"/>
      <c r="O47" s="25"/>
      <c r="P47" s="25"/>
      <c r="Q47" s="25">
        <v>1000</v>
      </c>
      <c r="R47" s="25"/>
      <c r="S47" s="25"/>
      <c r="T47" s="25"/>
      <c r="U47" s="25"/>
      <c r="V47" s="56">
        <f t="shared" si="0"/>
        <v>0</v>
      </c>
      <c r="W47" s="146" t="s">
        <v>14</v>
      </c>
      <c r="X47" s="9">
        <v>1</v>
      </c>
      <c r="Z47" s="232">
        <v>5</v>
      </c>
      <c r="AA47" s="254" t="s">
        <v>318</v>
      </c>
    </row>
    <row r="48" spans="1:27" ht="14.7" thickBot="1" x14ac:dyDescent="0.6">
      <c r="A48" s="8"/>
      <c r="B48" s="20">
        <v>42967</v>
      </c>
      <c r="C48" s="20" t="s">
        <v>224</v>
      </c>
      <c r="D48" s="92" t="s">
        <v>225</v>
      </c>
      <c r="E48" s="93" t="s">
        <v>115</v>
      </c>
      <c r="F48" s="94"/>
      <c r="G48" s="24">
        <v>246</v>
      </c>
      <c r="H48" s="25"/>
      <c r="I48" s="25"/>
      <c r="J48" s="24"/>
      <c r="K48" s="25">
        <v>41</v>
      </c>
      <c r="L48" s="25"/>
      <c r="M48" s="25"/>
      <c r="N48" s="25">
        <v>205</v>
      </c>
      <c r="O48" s="25"/>
      <c r="P48" s="25"/>
      <c r="Q48" s="25"/>
      <c r="R48" s="25"/>
      <c r="S48" s="25"/>
      <c r="T48" s="25"/>
      <c r="U48" s="25"/>
      <c r="V48" s="56">
        <f t="shared" si="0"/>
        <v>0</v>
      </c>
      <c r="W48" s="146" t="s">
        <v>12</v>
      </c>
      <c r="X48" s="9">
        <v>11</v>
      </c>
      <c r="Z48" s="232">
        <v>6</v>
      </c>
      <c r="AA48" s="242" t="s">
        <v>22</v>
      </c>
    </row>
    <row r="49" spans="1:27" x14ac:dyDescent="0.55000000000000004">
      <c r="A49" s="8"/>
      <c r="B49" s="20">
        <v>42968</v>
      </c>
      <c r="C49" s="20" t="s">
        <v>226</v>
      </c>
      <c r="D49" s="92" t="s">
        <v>329</v>
      </c>
      <c r="E49" s="93" t="s">
        <v>115</v>
      </c>
      <c r="F49" s="94"/>
      <c r="G49" s="24">
        <v>90</v>
      </c>
      <c r="H49" s="25"/>
      <c r="I49" s="25"/>
      <c r="J49" s="24"/>
      <c r="K49" s="25"/>
      <c r="L49" s="25"/>
      <c r="M49" s="25"/>
      <c r="N49" s="25"/>
      <c r="O49" s="25"/>
      <c r="P49" s="25"/>
      <c r="Q49" s="25">
        <v>90</v>
      </c>
      <c r="R49" s="25"/>
      <c r="S49" s="25"/>
      <c r="T49" s="25"/>
      <c r="U49" s="25"/>
      <c r="V49" s="56">
        <f t="shared" si="0"/>
        <v>0</v>
      </c>
      <c r="W49" s="146" t="s">
        <v>14</v>
      </c>
      <c r="X49" s="9">
        <v>2</v>
      </c>
      <c r="Z49" s="236"/>
      <c r="AA49" s="248" t="s">
        <v>94</v>
      </c>
    </row>
    <row r="50" spans="1:27" x14ac:dyDescent="0.55000000000000004">
      <c r="A50" s="8"/>
      <c r="B50" s="20">
        <v>42968</v>
      </c>
      <c r="C50" s="20" t="s">
        <v>227</v>
      </c>
      <c r="D50" s="92" t="s">
        <v>228</v>
      </c>
      <c r="E50" s="93" t="s">
        <v>115</v>
      </c>
      <c r="F50" s="94"/>
      <c r="G50" s="24">
        <v>2744.55</v>
      </c>
      <c r="H50" s="25"/>
      <c r="I50" s="25"/>
      <c r="J50" s="24"/>
      <c r="K50" s="25">
        <v>156.41999999999999</v>
      </c>
      <c r="L50" s="25"/>
      <c r="M50" s="25"/>
      <c r="N50" s="25">
        <v>2588.13</v>
      </c>
      <c r="O50" s="25"/>
      <c r="P50" s="25"/>
      <c r="Q50" s="25"/>
      <c r="R50" s="25"/>
      <c r="S50" s="25"/>
      <c r="T50" s="25"/>
      <c r="U50" s="25"/>
      <c r="V50" s="56">
        <f t="shared" si="0"/>
        <v>0</v>
      </c>
      <c r="W50" s="146" t="s">
        <v>12</v>
      </c>
      <c r="X50" s="9">
        <v>11</v>
      </c>
      <c r="Z50" s="236">
        <v>1</v>
      </c>
      <c r="AA50" s="244" t="s">
        <v>27</v>
      </c>
    </row>
    <row r="51" spans="1:27" ht="14.7" thickBot="1" x14ac:dyDescent="0.6">
      <c r="A51" s="8"/>
      <c r="B51" s="20">
        <v>42978</v>
      </c>
      <c r="C51" s="20" t="s">
        <v>229</v>
      </c>
      <c r="D51" s="92" t="s">
        <v>235</v>
      </c>
      <c r="E51" s="93" t="s">
        <v>115</v>
      </c>
      <c r="F51" s="94"/>
      <c r="G51" s="24">
        <v>1219.6400000000001</v>
      </c>
      <c r="H51" s="25"/>
      <c r="I51" s="25"/>
      <c r="J51" s="24"/>
      <c r="K51" s="25">
        <v>203.27</v>
      </c>
      <c r="L51" s="25"/>
      <c r="M51" s="25"/>
      <c r="N51" s="25">
        <v>1016.37</v>
      </c>
      <c r="O51" s="25"/>
      <c r="P51" s="25"/>
      <c r="Q51" s="25"/>
      <c r="R51" s="25"/>
      <c r="S51" s="25"/>
      <c r="T51" s="25"/>
      <c r="U51" s="25"/>
      <c r="V51" s="56">
        <f t="shared" si="0"/>
        <v>0</v>
      </c>
      <c r="W51" s="146" t="s">
        <v>12</v>
      </c>
      <c r="X51" s="9">
        <v>11</v>
      </c>
      <c r="Z51" s="236">
        <v>2</v>
      </c>
      <c r="AA51" s="249" t="s">
        <v>143</v>
      </c>
    </row>
    <row r="52" spans="1:27" x14ac:dyDescent="0.55000000000000004">
      <c r="A52" s="8"/>
      <c r="B52" s="20">
        <v>42964</v>
      </c>
      <c r="C52" s="20" t="s">
        <v>230</v>
      </c>
      <c r="D52" s="92" t="s">
        <v>231</v>
      </c>
      <c r="E52" s="93" t="s">
        <v>232</v>
      </c>
      <c r="F52" s="94"/>
      <c r="G52" s="24">
        <v>25</v>
      </c>
      <c r="H52" s="25"/>
      <c r="I52" s="25"/>
      <c r="J52" s="24"/>
      <c r="K52" s="25"/>
      <c r="L52" s="25"/>
      <c r="M52" s="25"/>
      <c r="N52" s="25"/>
      <c r="O52" s="25"/>
      <c r="P52" s="25"/>
      <c r="Q52" s="25"/>
      <c r="R52" s="25"/>
      <c r="S52" s="25">
        <v>25</v>
      </c>
      <c r="T52" s="25"/>
      <c r="U52" s="25"/>
      <c r="V52" s="56">
        <f t="shared" si="0"/>
        <v>0</v>
      </c>
      <c r="W52" s="146" t="s">
        <v>300</v>
      </c>
      <c r="X52" s="9">
        <v>9</v>
      </c>
      <c r="Z52" s="250"/>
      <c r="AA52" s="252" t="s">
        <v>5</v>
      </c>
    </row>
    <row r="53" spans="1:27" x14ac:dyDescent="0.55000000000000004">
      <c r="A53" s="8"/>
      <c r="B53" s="20">
        <v>42978</v>
      </c>
      <c r="C53" s="20" t="s">
        <v>233</v>
      </c>
      <c r="D53" s="92" t="s">
        <v>234</v>
      </c>
      <c r="E53" s="93" t="s">
        <v>115</v>
      </c>
      <c r="F53" s="94"/>
      <c r="G53" s="24">
        <v>2000</v>
      </c>
      <c r="H53" s="25"/>
      <c r="I53" s="25"/>
      <c r="J53" s="24"/>
      <c r="K53" s="25"/>
      <c r="L53" s="25"/>
      <c r="M53" s="25"/>
      <c r="N53" s="25">
        <v>2000</v>
      </c>
      <c r="O53" s="25"/>
      <c r="P53" s="25"/>
      <c r="Q53" s="25"/>
      <c r="R53" s="25"/>
      <c r="S53" s="25"/>
      <c r="T53" s="25"/>
      <c r="U53" s="25"/>
      <c r="V53" s="56">
        <f t="shared" si="0"/>
        <v>0</v>
      </c>
      <c r="W53" s="146" t="s">
        <v>12</v>
      </c>
      <c r="X53" s="9">
        <v>11</v>
      </c>
      <c r="Z53" s="250">
        <v>1</v>
      </c>
      <c r="AA53" s="244" t="s">
        <v>8</v>
      </c>
    </row>
    <row r="54" spans="1:27" x14ac:dyDescent="0.55000000000000004">
      <c r="A54" s="8"/>
      <c r="B54" s="20">
        <v>42963</v>
      </c>
      <c r="C54" s="20" t="s">
        <v>236</v>
      </c>
      <c r="D54" s="92" t="s">
        <v>123</v>
      </c>
      <c r="E54" s="93" t="s">
        <v>112</v>
      </c>
      <c r="F54" s="94"/>
      <c r="G54" s="24">
        <v>28.2</v>
      </c>
      <c r="H54" s="25"/>
      <c r="I54" s="25"/>
      <c r="J54" s="24"/>
      <c r="K54" s="25">
        <v>4.7</v>
      </c>
      <c r="L54" s="25"/>
      <c r="M54" s="25"/>
      <c r="N54" s="25"/>
      <c r="O54" s="25"/>
      <c r="P54" s="25"/>
      <c r="Q54" s="25"/>
      <c r="R54" s="25"/>
      <c r="S54" s="25">
        <v>23.5</v>
      </c>
      <c r="T54" s="25"/>
      <c r="U54" s="25"/>
      <c r="V54" s="56">
        <f t="shared" si="0"/>
        <v>0</v>
      </c>
      <c r="W54" s="146" t="s">
        <v>300</v>
      </c>
      <c r="X54" s="9">
        <v>4</v>
      </c>
      <c r="Z54" s="250">
        <v>2</v>
      </c>
      <c r="AA54" s="244" t="s">
        <v>148</v>
      </c>
    </row>
    <row r="55" spans="1:27" x14ac:dyDescent="0.55000000000000004">
      <c r="A55" s="8"/>
      <c r="B55" s="20">
        <v>42978</v>
      </c>
      <c r="C55" s="20" t="s">
        <v>237</v>
      </c>
      <c r="D55" s="92" t="s">
        <v>50</v>
      </c>
      <c r="E55" s="93"/>
      <c r="F55" s="94">
        <v>1.04</v>
      </c>
      <c r="G55" s="24"/>
      <c r="H55" s="25"/>
      <c r="I55" s="25">
        <v>1.04</v>
      </c>
      <c r="J55" s="24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56">
        <f t="shared" si="0"/>
        <v>0</v>
      </c>
      <c r="W55" s="146" t="s">
        <v>5</v>
      </c>
      <c r="X55" s="9">
        <v>3</v>
      </c>
      <c r="Z55" s="250">
        <v>3</v>
      </c>
      <c r="AA55" s="244" t="s">
        <v>50</v>
      </c>
    </row>
    <row r="56" spans="1:27" x14ac:dyDescent="0.55000000000000004">
      <c r="A56" s="8"/>
      <c r="B56" s="20">
        <v>42956</v>
      </c>
      <c r="C56" s="20" t="s">
        <v>238</v>
      </c>
      <c r="D56" s="92" t="s">
        <v>50</v>
      </c>
      <c r="E56" s="93"/>
      <c r="F56" s="94">
        <v>0.99</v>
      </c>
      <c r="G56" s="24"/>
      <c r="H56" s="25"/>
      <c r="I56" s="25">
        <v>0.99</v>
      </c>
      <c r="J56" s="2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56">
        <f t="shared" si="0"/>
        <v>0</v>
      </c>
      <c r="W56" s="146" t="s">
        <v>5</v>
      </c>
      <c r="X56" s="9">
        <v>3</v>
      </c>
      <c r="Z56" s="250">
        <v>4</v>
      </c>
      <c r="AA56" s="244" t="s">
        <v>90</v>
      </c>
    </row>
    <row r="57" spans="1:27" x14ac:dyDescent="0.55000000000000004">
      <c r="A57" s="8"/>
      <c r="B57" s="20">
        <v>43005</v>
      </c>
      <c r="C57" s="20" t="s">
        <v>239</v>
      </c>
      <c r="D57" s="92" t="s">
        <v>240</v>
      </c>
      <c r="E57" s="93" t="s">
        <v>115</v>
      </c>
      <c r="F57" s="94"/>
      <c r="G57" s="24">
        <v>240</v>
      </c>
      <c r="H57" s="25"/>
      <c r="I57" s="25"/>
      <c r="J57" s="24"/>
      <c r="K57" s="25">
        <v>40</v>
      </c>
      <c r="L57" s="25"/>
      <c r="M57" s="25"/>
      <c r="N57" s="25">
        <v>200</v>
      </c>
      <c r="O57" s="25"/>
      <c r="P57" s="25"/>
      <c r="Q57" s="25"/>
      <c r="R57" s="25"/>
      <c r="S57" s="25"/>
      <c r="T57" s="25"/>
      <c r="U57" s="25"/>
      <c r="V57" s="56">
        <f t="shared" si="0"/>
        <v>0</v>
      </c>
      <c r="W57" s="146" t="s">
        <v>12</v>
      </c>
      <c r="X57" s="9">
        <v>11</v>
      </c>
      <c r="Z57" s="250">
        <v>5</v>
      </c>
      <c r="AA57" s="264" t="s">
        <v>323</v>
      </c>
    </row>
    <row r="58" spans="1:27" x14ac:dyDescent="0.55000000000000004">
      <c r="A58" s="8"/>
      <c r="B58" s="20">
        <v>43004</v>
      </c>
      <c r="C58" s="20" t="s">
        <v>241</v>
      </c>
      <c r="D58" s="92" t="s">
        <v>242</v>
      </c>
      <c r="E58" s="93" t="s">
        <v>115</v>
      </c>
      <c r="F58" s="94"/>
      <c r="G58" s="24">
        <v>1791</v>
      </c>
      <c r="H58" s="25"/>
      <c r="I58" s="25"/>
      <c r="J58" s="24"/>
      <c r="K58" s="25">
        <v>298.5</v>
      </c>
      <c r="L58" s="25"/>
      <c r="M58" s="25"/>
      <c r="N58" s="25">
        <v>1492.5</v>
      </c>
      <c r="O58" s="25"/>
      <c r="P58" s="25"/>
      <c r="Q58" s="25"/>
      <c r="R58" s="25"/>
      <c r="S58" s="25"/>
      <c r="T58" s="25"/>
      <c r="U58" s="25"/>
      <c r="V58" s="56">
        <f t="shared" si="0"/>
        <v>0</v>
      </c>
      <c r="W58" s="146" t="s">
        <v>12</v>
      </c>
      <c r="X58" s="9">
        <v>11</v>
      </c>
    </row>
    <row r="59" spans="1:27" x14ac:dyDescent="0.55000000000000004">
      <c r="A59" s="8"/>
      <c r="B59" s="20">
        <v>42999</v>
      </c>
      <c r="C59" s="20" t="s">
        <v>243</v>
      </c>
      <c r="D59" s="92" t="s">
        <v>273</v>
      </c>
      <c r="E59" s="93" t="s">
        <v>115</v>
      </c>
      <c r="F59" s="94"/>
      <c r="G59" s="24">
        <v>4125</v>
      </c>
      <c r="H59" s="25"/>
      <c r="I59" s="25"/>
      <c r="J59" s="24"/>
      <c r="K59" s="25"/>
      <c r="L59" s="25"/>
      <c r="M59" s="25"/>
      <c r="N59" s="25">
        <v>4125</v>
      </c>
      <c r="O59" s="25"/>
      <c r="P59" s="25"/>
      <c r="Q59" s="25"/>
      <c r="R59" s="25"/>
      <c r="S59" s="25"/>
      <c r="T59" s="25"/>
      <c r="U59" s="25"/>
      <c r="V59" s="56">
        <f t="shared" si="0"/>
        <v>0</v>
      </c>
      <c r="W59" s="146" t="s">
        <v>12</v>
      </c>
      <c r="X59" s="9">
        <v>11</v>
      </c>
    </row>
    <row r="60" spans="1:27" x14ac:dyDescent="0.55000000000000004">
      <c r="A60" s="8"/>
      <c r="B60" s="20">
        <v>42999</v>
      </c>
      <c r="C60" s="20" t="s">
        <v>244</v>
      </c>
      <c r="D60" s="92" t="s">
        <v>169</v>
      </c>
      <c r="E60" s="93" t="s">
        <v>115</v>
      </c>
      <c r="F60" s="94"/>
      <c r="G60" s="24">
        <v>248.91</v>
      </c>
      <c r="H60" s="25"/>
      <c r="I60" s="25"/>
      <c r="J60" s="24"/>
      <c r="K60" s="25"/>
      <c r="L60" s="25">
        <v>248.91</v>
      </c>
      <c r="M60" s="25"/>
      <c r="N60" s="25"/>
      <c r="O60" s="25"/>
      <c r="P60" s="25"/>
      <c r="Q60" s="25"/>
      <c r="R60" s="25"/>
      <c r="S60" s="25"/>
      <c r="T60" s="25"/>
      <c r="U60" s="25"/>
      <c r="V60" s="56">
        <f t="shared" si="0"/>
        <v>0</v>
      </c>
      <c r="W60" s="146" t="s">
        <v>300</v>
      </c>
      <c r="X60" s="9">
        <v>1</v>
      </c>
    </row>
    <row r="61" spans="1:27" x14ac:dyDescent="0.55000000000000004">
      <c r="A61" s="8"/>
      <c r="B61" s="20">
        <v>42999</v>
      </c>
      <c r="C61" s="20" t="s">
        <v>245</v>
      </c>
      <c r="D61" s="92" t="s">
        <v>170</v>
      </c>
      <c r="E61" s="93" t="s">
        <v>115</v>
      </c>
      <c r="F61" s="94"/>
      <c r="G61" s="24">
        <v>32.4</v>
      </c>
      <c r="H61" s="25"/>
      <c r="I61" s="25"/>
      <c r="J61" s="24"/>
      <c r="K61" s="25"/>
      <c r="L61" s="25">
        <v>32.4</v>
      </c>
      <c r="M61" s="25"/>
      <c r="N61" s="25"/>
      <c r="O61" s="25"/>
      <c r="P61" s="25"/>
      <c r="Q61" s="25"/>
      <c r="R61" s="25"/>
      <c r="S61" s="25"/>
      <c r="T61" s="25"/>
      <c r="U61" s="25"/>
      <c r="V61" s="56">
        <f t="shared" si="0"/>
        <v>0</v>
      </c>
      <c r="W61" s="146" t="s">
        <v>300</v>
      </c>
      <c r="X61" s="9">
        <v>1</v>
      </c>
    </row>
    <row r="62" spans="1:27" x14ac:dyDescent="0.55000000000000004">
      <c r="A62" s="8"/>
      <c r="B62" s="20">
        <v>43000</v>
      </c>
      <c r="C62" s="20" t="s">
        <v>246</v>
      </c>
      <c r="D62" s="92" t="s">
        <v>206</v>
      </c>
      <c r="E62" s="93" t="s">
        <v>115</v>
      </c>
      <c r="F62" s="94"/>
      <c r="G62" s="24">
        <v>169.16</v>
      </c>
      <c r="H62" s="25"/>
      <c r="I62" s="25"/>
      <c r="J62" s="24"/>
      <c r="K62" s="25">
        <v>28.19</v>
      </c>
      <c r="L62" s="25"/>
      <c r="M62" s="25"/>
      <c r="N62" s="25"/>
      <c r="O62" s="25"/>
      <c r="P62" s="25"/>
      <c r="Q62" s="25"/>
      <c r="R62" s="25"/>
      <c r="S62" s="25">
        <v>140.97</v>
      </c>
      <c r="T62" s="25"/>
      <c r="U62" s="25"/>
      <c r="V62" s="56">
        <f t="shared" si="0"/>
        <v>0</v>
      </c>
      <c r="W62" s="146" t="s">
        <v>300</v>
      </c>
      <c r="X62" s="9">
        <v>11</v>
      </c>
    </row>
    <row r="63" spans="1:27" x14ac:dyDescent="0.55000000000000004">
      <c r="A63" s="8"/>
      <c r="B63" s="20">
        <v>43004</v>
      </c>
      <c r="C63" s="20" t="s">
        <v>247</v>
      </c>
      <c r="D63" s="92" t="s">
        <v>307</v>
      </c>
      <c r="E63" s="93" t="s">
        <v>115</v>
      </c>
      <c r="F63" s="94"/>
      <c r="G63" s="24">
        <v>215</v>
      </c>
      <c r="H63" s="25"/>
      <c r="I63" s="25"/>
      <c r="J63" s="24"/>
      <c r="K63" s="25"/>
      <c r="L63" s="25"/>
      <c r="M63" s="25"/>
      <c r="N63" s="25">
        <v>215</v>
      </c>
      <c r="O63" s="25"/>
      <c r="P63" s="25"/>
      <c r="Q63" s="25"/>
      <c r="R63" s="25"/>
      <c r="S63" s="25"/>
      <c r="T63" s="25"/>
      <c r="U63" s="25"/>
      <c r="V63" s="56">
        <f t="shared" si="0"/>
        <v>0</v>
      </c>
      <c r="W63" s="146" t="s">
        <v>12</v>
      </c>
      <c r="X63" s="9">
        <v>11</v>
      </c>
    </row>
    <row r="64" spans="1:27" x14ac:dyDescent="0.55000000000000004">
      <c r="A64" s="8"/>
      <c r="B64" s="20">
        <v>43004</v>
      </c>
      <c r="C64" s="20" t="s">
        <v>248</v>
      </c>
      <c r="D64" s="92" t="s">
        <v>242</v>
      </c>
      <c r="E64" s="93" t="s">
        <v>115</v>
      </c>
      <c r="F64" s="94"/>
      <c r="G64" s="24">
        <v>420</v>
      </c>
      <c r="H64" s="25"/>
      <c r="I64" s="25"/>
      <c r="J64" s="24"/>
      <c r="K64" s="25">
        <v>70</v>
      </c>
      <c r="L64" s="25"/>
      <c r="M64" s="25"/>
      <c r="N64" s="25">
        <v>350</v>
      </c>
      <c r="O64" s="25"/>
      <c r="P64" s="25"/>
      <c r="Q64" s="25"/>
      <c r="R64" s="25"/>
      <c r="S64" s="25"/>
      <c r="T64" s="25"/>
      <c r="U64" s="25"/>
      <c r="V64" s="56">
        <f t="shared" si="0"/>
        <v>0</v>
      </c>
      <c r="W64" s="146" t="s">
        <v>12</v>
      </c>
      <c r="X64" s="9">
        <v>11</v>
      </c>
    </row>
    <row r="65" spans="1:24" x14ac:dyDescent="0.55000000000000004">
      <c r="A65" s="8"/>
      <c r="B65" s="20">
        <v>42999</v>
      </c>
      <c r="C65" s="20" t="s">
        <v>249</v>
      </c>
      <c r="D65" s="92" t="s">
        <v>274</v>
      </c>
      <c r="E65" s="93" t="s">
        <v>115</v>
      </c>
      <c r="F65" s="94"/>
      <c r="G65" s="24">
        <v>130</v>
      </c>
      <c r="H65" s="25"/>
      <c r="I65" s="25"/>
      <c r="J65" s="24"/>
      <c r="K65" s="25">
        <v>21.67</v>
      </c>
      <c r="L65" s="25"/>
      <c r="M65" s="25"/>
      <c r="N65" s="25">
        <v>108.33</v>
      </c>
      <c r="O65" s="25"/>
      <c r="P65" s="25"/>
      <c r="Q65" s="25"/>
      <c r="R65" s="25"/>
      <c r="S65" s="25"/>
      <c r="T65" s="25"/>
      <c r="U65" s="25"/>
      <c r="V65" s="56">
        <f t="shared" si="0"/>
        <v>0</v>
      </c>
      <c r="W65" s="146" t="s">
        <v>12</v>
      </c>
      <c r="X65" s="9">
        <v>11</v>
      </c>
    </row>
    <row r="66" spans="1:24" x14ac:dyDescent="0.55000000000000004">
      <c r="A66" s="8"/>
      <c r="B66" s="20">
        <v>42989</v>
      </c>
      <c r="C66" s="20" t="s">
        <v>250</v>
      </c>
      <c r="D66" s="92" t="s">
        <v>50</v>
      </c>
      <c r="E66" s="93"/>
      <c r="F66" s="94">
        <v>0.82</v>
      </c>
      <c r="G66" s="24"/>
      <c r="H66" s="25"/>
      <c r="I66" s="25">
        <v>0.82</v>
      </c>
      <c r="J66" s="24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56">
        <f t="shared" si="0"/>
        <v>0</v>
      </c>
      <c r="W66" s="146" t="s">
        <v>5</v>
      </c>
      <c r="X66" s="9">
        <v>3</v>
      </c>
    </row>
    <row r="67" spans="1:24" x14ac:dyDescent="0.55000000000000004">
      <c r="A67" s="8"/>
      <c r="B67" s="20">
        <v>43006</v>
      </c>
      <c r="C67" s="20" t="s">
        <v>251</v>
      </c>
      <c r="D67" s="92" t="s">
        <v>8</v>
      </c>
      <c r="E67" s="93"/>
      <c r="F67" s="94">
        <v>6395</v>
      </c>
      <c r="G67" s="24"/>
      <c r="H67" s="25">
        <v>6395</v>
      </c>
      <c r="I67" s="25"/>
      <c r="J67" s="24">
        <v>6395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56">
        <f t="shared" si="0"/>
        <v>0</v>
      </c>
      <c r="W67" s="146" t="s">
        <v>5</v>
      </c>
      <c r="X67" s="9">
        <v>1</v>
      </c>
    </row>
    <row r="68" spans="1:24" x14ac:dyDescent="0.55000000000000004">
      <c r="A68" s="8"/>
      <c r="B68" s="20">
        <v>42999</v>
      </c>
      <c r="C68" s="20" t="s">
        <v>252</v>
      </c>
      <c r="D68" s="92" t="s">
        <v>253</v>
      </c>
      <c r="E68" s="93" t="s">
        <v>115</v>
      </c>
      <c r="F68" s="94"/>
      <c r="G68" s="24">
        <v>585</v>
      </c>
      <c r="H68" s="25"/>
      <c r="I68" s="25"/>
      <c r="J68" s="24"/>
      <c r="K68" s="25"/>
      <c r="L68" s="25"/>
      <c r="M68" s="25"/>
      <c r="N68" s="25">
        <v>585</v>
      </c>
      <c r="O68" s="25"/>
      <c r="P68" s="25"/>
      <c r="Q68" s="25"/>
      <c r="R68" s="25"/>
      <c r="S68" s="25"/>
      <c r="T68" s="25"/>
      <c r="U68" s="25"/>
      <c r="V68" s="56">
        <f t="shared" si="0"/>
        <v>0</v>
      </c>
      <c r="W68" s="146" t="s">
        <v>299</v>
      </c>
      <c r="X68" s="9">
        <v>1</v>
      </c>
    </row>
    <row r="69" spans="1:24" x14ac:dyDescent="0.55000000000000004">
      <c r="A69" s="8"/>
      <c r="B69" s="20">
        <v>42993</v>
      </c>
      <c r="C69" s="20" t="s">
        <v>254</v>
      </c>
      <c r="D69" s="92" t="s">
        <v>123</v>
      </c>
      <c r="E69" s="93" t="s">
        <v>112</v>
      </c>
      <c r="F69" s="94"/>
      <c r="G69" s="24">
        <v>28.2</v>
      </c>
      <c r="H69" s="25"/>
      <c r="I69" s="25"/>
      <c r="J69" s="24"/>
      <c r="K69" s="25">
        <v>4.7</v>
      </c>
      <c r="L69" s="25"/>
      <c r="M69" s="25"/>
      <c r="N69" s="25"/>
      <c r="O69" s="25"/>
      <c r="P69" s="25"/>
      <c r="Q69" s="25"/>
      <c r="R69" s="25"/>
      <c r="S69" s="25">
        <v>23.5</v>
      </c>
      <c r="T69" s="25"/>
      <c r="U69" s="25"/>
      <c r="V69" s="56">
        <f t="shared" si="0"/>
        <v>0</v>
      </c>
      <c r="W69" s="146" t="s">
        <v>300</v>
      </c>
      <c r="X69" s="9">
        <v>4</v>
      </c>
    </row>
    <row r="70" spans="1:24" x14ac:dyDescent="0.55000000000000004">
      <c r="A70" s="8"/>
      <c r="B70" s="20">
        <v>43007</v>
      </c>
      <c r="C70" s="20" t="s">
        <v>255</v>
      </c>
      <c r="D70" s="92" t="s">
        <v>50</v>
      </c>
      <c r="E70" s="93"/>
      <c r="F70" s="94">
        <v>0.98</v>
      </c>
      <c r="G70" s="24"/>
      <c r="H70" s="25"/>
      <c r="I70" s="25">
        <v>0.98</v>
      </c>
      <c r="J70" s="24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56">
        <f t="shared" si="0"/>
        <v>0</v>
      </c>
      <c r="W70" s="146" t="s">
        <v>5</v>
      </c>
      <c r="X70" s="9">
        <v>3</v>
      </c>
    </row>
    <row r="71" spans="1:24" x14ac:dyDescent="0.55000000000000004">
      <c r="A71" s="8"/>
      <c r="B71" s="20">
        <v>43027</v>
      </c>
      <c r="C71" s="20" t="s">
        <v>256</v>
      </c>
      <c r="D71" s="92" t="s">
        <v>169</v>
      </c>
      <c r="E71" s="93" t="s">
        <v>115</v>
      </c>
      <c r="F71" s="94"/>
      <c r="G71" s="24">
        <v>242.99</v>
      </c>
      <c r="H71" s="25"/>
      <c r="I71" s="25"/>
      <c r="J71" s="24"/>
      <c r="K71" s="25"/>
      <c r="L71" s="25">
        <v>242.99</v>
      </c>
      <c r="M71" s="25"/>
      <c r="N71" s="25"/>
      <c r="O71" s="25"/>
      <c r="P71" s="25"/>
      <c r="Q71" s="25"/>
      <c r="R71" s="25"/>
      <c r="S71" s="25"/>
      <c r="T71" s="25"/>
      <c r="U71" s="25"/>
      <c r="V71" s="56">
        <f t="shared" ref="V71:V128" si="1">SUM(K71:U71)-G71</f>
        <v>0</v>
      </c>
      <c r="W71" s="146" t="s">
        <v>300</v>
      </c>
      <c r="X71" s="9">
        <v>1</v>
      </c>
    </row>
    <row r="72" spans="1:24" x14ac:dyDescent="0.55000000000000004">
      <c r="A72" s="8"/>
      <c r="B72" s="20">
        <v>43027</v>
      </c>
      <c r="C72" s="20" t="s">
        <v>258</v>
      </c>
      <c r="D72" s="92" t="s">
        <v>170</v>
      </c>
      <c r="E72" s="93" t="s">
        <v>115</v>
      </c>
      <c r="F72" s="94"/>
      <c r="G72" s="24">
        <v>28.4</v>
      </c>
      <c r="H72" s="25"/>
      <c r="I72" s="25"/>
      <c r="J72" s="24"/>
      <c r="K72" s="25"/>
      <c r="L72" s="25">
        <v>28.4</v>
      </c>
      <c r="M72" s="25"/>
      <c r="N72" s="25"/>
      <c r="O72" s="25"/>
      <c r="P72" s="25"/>
      <c r="Q72" s="25"/>
      <c r="R72" s="25"/>
      <c r="S72" s="25"/>
      <c r="T72" s="25"/>
      <c r="U72" s="25"/>
      <c r="V72" s="56">
        <f t="shared" si="1"/>
        <v>0</v>
      </c>
      <c r="W72" s="146" t="s">
        <v>300</v>
      </c>
      <c r="X72" s="9">
        <v>1</v>
      </c>
    </row>
    <row r="73" spans="1:24" x14ac:dyDescent="0.55000000000000004">
      <c r="A73" s="8"/>
      <c r="B73" s="20">
        <v>43031</v>
      </c>
      <c r="C73" s="20" t="s">
        <v>257</v>
      </c>
      <c r="D73" s="92" t="s">
        <v>259</v>
      </c>
      <c r="E73" s="93" t="s">
        <v>115</v>
      </c>
      <c r="F73" s="94"/>
      <c r="G73" s="24">
        <v>832.8</v>
      </c>
      <c r="H73" s="25"/>
      <c r="I73" s="25"/>
      <c r="J73" s="24"/>
      <c r="K73" s="25">
        <v>138.80000000000001</v>
      </c>
      <c r="L73" s="25"/>
      <c r="M73" s="25"/>
      <c r="N73" s="25"/>
      <c r="O73" s="25">
        <v>694</v>
      </c>
      <c r="P73" s="25"/>
      <c r="Q73" s="25"/>
      <c r="R73" s="25"/>
      <c r="S73" s="25"/>
      <c r="T73" s="25"/>
      <c r="U73" s="25"/>
      <c r="V73" s="56">
        <f t="shared" si="1"/>
        <v>0</v>
      </c>
      <c r="W73" s="146" t="s">
        <v>12</v>
      </c>
      <c r="X73" s="9">
        <v>11</v>
      </c>
    </row>
    <row r="74" spans="1:24" x14ac:dyDescent="0.55000000000000004">
      <c r="A74" s="8"/>
      <c r="B74" s="20">
        <v>43031</v>
      </c>
      <c r="C74" s="20" t="s">
        <v>260</v>
      </c>
      <c r="D74" s="92" t="s">
        <v>261</v>
      </c>
      <c r="E74" s="93" t="s">
        <v>115</v>
      </c>
      <c r="F74" s="94"/>
      <c r="G74" s="24">
        <v>976.5</v>
      </c>
      <c r="H74" s="25"/>
      <c r="I74" s="25"/>
      <c r="J74" s="24"/>
      <c r="K74" s="25">
        <v>162.75</v>
      </c>
      <c r="L74" s="25"/>
      <c r="M74" s="25"/>
      <c r="N74" s="25">
        <v>813.75</v>
      </c>
      <c r="O74" s="25"/>
      <c r="P74" s="25"/>
      <c r="Q74" s="25"/>
      <c r="R74" s="25"/>
      <c r="S74" s="25"/>
      <c r="T74" s="25"/>
      <c r="U74" s="25"/>
      <c r="V74" s="56">
        <f t="shared" si="1"/>
        <v>0</v>
      </c>
      <c r="W74" s="146" t="s">
        <v>12</v>
      </c>
      <c r="X74" s="9">
        <v>10</v>
      </c>
    </row>
    <row r="75" spans="1:24" x14ac:dyDescent="0.55000000000000004">
      <c r="A75" s="8"/>
      <c r="B75" s="20">
        <v>43031</v>
      </c>
      <c r="C75" s="20" t="s">
        <v>262</v>
      </c>
      <c r="D75" s="92" t="s">
        <v>261</v>
      </c>
      <c r="E75" s="93" t="s">
        <v>115</v>
      </c>
      <c r="F75" s="94"/>
      <c r="G75" s="24">
        <v>63</v>
      </c>
      <c r="H75" s="25"/>
      <c r="I75" s="25"/>
      <c r="J75" s="24"/>
      <c r="K75" s="25">
        <v>10.5</v>
      </c>
      <c r="L75" s="25"/>
      <c r="M75" s="25"/>
      <c r="N75" s="25">
        <v>52.5</v>
      </c>
      <c r="O75" s="25"/>
      <c r="P75" s="25"/>
      <c r="Q75" s="25"/>
      <c r="R75" s="25"/>
      <c r="S75" s="25"/>
      <c r="T75" s="25"/>
      <c r="U75" s="25"/>
      <c r="V75" s="56">
        <f t="shared" si="1"/>
        <v>0</v>
      </c>
      <c r="W75" s="146" t="s">
        <v>12</v>
      </c>
      <c r="X75" s="9">
        <v>10</v>
      </c>
    </row>
    <row r="76" spans="1:24" x14ac:dyDescent="0.55000000000000004">
      <c r="A76" s="8"/>
      <c r="B76" s="20">
        <v>43031</v>
      </c>
      <c r="C76" s="20" t="s">
        <v>263</v>
      </c>
      <c r="D76" s="92" t="s">
        <v>264</v>
      </c>
      <c r="E76" s="93" t="s">
        <v>115</v>
      </c>
      <c r="F76" s="94"/>
      <c r="G76" s="24">
        <v>1080</v>
      </c>
      <c r="H76" s="25"/>
      <c r="I76" s="25"/>
      <c r="J76" s="24"/>
      <c r="K76" s="25">
        <v>180</v>
      </c>
      <c r="L76" s="25"/>
      <c r="M76" s="25"/>
      <c r="N76" s="25"/>
      <c r="O76" s="25">
        <v>900</v>
      </c>
      <c r="P76" s="25"/>
      <c r="Q76" s="25"/>
      <c r="R76" s="25"/>
      <c r="S76" s="25"/>
      <c r="T76" s="25"/>
      <c r="U76" s="25"/>
      <c r="V76" s="56">
        <f t="shared" si="1"/>
        <v>0</v>
      </c>
      <c r="W76" s="146" t="s">
        <v>12</v>
      </c>
      <c r="X76" s="9">
        <v>6</v>
      </c>
    </row>
    <row r="77" spans="1:24" x14ac:dyDescent="0.55000000000000004">
      <c r="A77" s="8"/>
      <c r="B77" s="20">
        <v>43038</v>
      </c>
      <c r="C77" s="20" t="s">
        <v>265</v>
      </c>
      <c r="D77" s="92" t="s">
        <v>266</v>
      </c>
      <c r="E77" s="93" t="s">
        <v>115</v>
      </c>
      <c r="F77" s="94"/>
      <c r="G77" s="24">
        <v>12211.68</v>
      </c>
      <c r="H77" s="25"/>
      <c r="I77" s="25"/>
      <c r="J77" s="24"/>
      <c r="K77" s="25">
        <v>2035.29</v>
      </c>
      <c r="L77" s="25"/>
      <c r="M77" s="25"/>
      <c r="N77" s="25">
        <v>10176.39</v>
      </c>
      <c r="O77" s="25"/>
      <c r="P77" s="25"/>
      <c r="Q77" s="25"/>
      <c r="R77" s="25"/>
      <c r="S77" s="25"/>
      <c r="T77" s="25"/>
      <c r="U77" s="25"/>
      <c r="V77" s="56">
        <f t="shared" si="1"/>
        <v>0</v>
      </c>
      <c r="W77" s="146"/>
    </row>
    <row r="78" spans="1:24" x14ac:dyDescent="0.55000000000000004">
      <c r="A78" s="8"/>
      <c r="B78" s="20">
        <v>43038</v>
      </c>
      <c r="C78" s="20" t="s">
        <v>267</v>
      </c>
      <c r="D78" s="92" t="s">
        <v>268</v>
      </c>
      <c r="E78" s="93" t="s">
        <v>115</v>
      </c>
      <c r="F78" s="94"/>
      <c r="G78" s="24">
        <v>877.4</v>
      </c>
      <c r="H78" s="25"/>
      <c r="I78" s="25"/>
      <c r="J78" s="24"/>
      <c r="K78" s="25"/>
      <c r="L78" s="25"/>
      <c r="M78" s="25"/>
      <c r="N78" s="25"/>
      <c r="O78" s="25"/>
      <c r="P78" s="25"/>
      <c r="Q78" s="25"/>
      <c r="R78" s="25"/>
      <c r="S78" s="25"/>
      <c r="T78" s="25">
        <v>877.4</v>
      </c>
      <c r="U78" s="25"/>
      <c r="V78" s="56">
        <f t="shared" si="1"/>
        <v>0</v>
      </c>
      <c r="W78" s="146" t="s">
        <v>300</v>
      </c>
      <c r="X78" s="9">
        <v>10</v>
      </c>
    </row>
    <row r="79" spans="1:24" x14ac:dyDescent="0.55000000000000004">
      <c r="A79" s="8"/>
      <c r="B79" s="20">
        <v>43024</v>
      </c>
      <c r="C79" s="20" t="s">
        <v>270</v>
      </c>
      <c r="D79" s="92" t="s">
        <v>123</v>
      </c>
      <c r="E79" s="93" t="s">
        <v>112</v>
      </c>
      <c r="F79" s="94"/>
      <c r="G79" s="24">
        <v>28.2</v>
      </c>
      <c r="H79" s="25"/>
      <c r="I79" s="25"/>
      <c r="J79" s="24"/>
      <c r="K79" s="25">
        <v>4.7</v>
      </c>
      <c r="L79" s="25"/>
      <c r="M79" s="25"/>
      <c r="N79" s="25"/>
      <c r="O79" s="25"/>
      <c r="P79" s="25"/>
      <c r="Q79" s="25"/>
      <c r="R79" s="25"/>
      <c r="S79" s="25">
        <v>23.5</v>
      </c>
      <c r="T79" s="25"/>
      <c r="U79" s="25"/>
      <c r="V79" s="56">
        <f t="shared" si="1"/>
        <v>0</v>
      </c>
      <c r="W79" s="146" t="s">
        <v>300</v>
      </c>
      <c r="X79" s="9">
        <v>4</v>
      </c>
    </row>
    <row r="80" spans="1:24" x14ac:dyDescent="0.55000000000000004">
      <c r="A80" s="8"/>
      <c r="B80" s="20">
        <v>43021</v>
      </c>
      <c r="C80" s="20" t="s">
        <v>271</v>
      </c>
      <c r="D80" s="92" t="s">
        <v>272</v>
      </c>
      <c r="E80" s="93" t="s">
        <v>115</v>
      </c>
      <c r="F80" s="94">
        <v>10176.39</v>
      </c>
      <c r="G80" s="24"/>
      <c r="H80" s="25"/>
      <c r="I80" s="25"/>
      <c r="J80" s="24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56">
        <f t="shared" si="1"/>
        <v>0</v>
      </c>
      <c r="W80" s="146"/>
    </row>
    <row r="81" spans="1:24" x14ac:dyDescent="0.55000000000000004">
      <c r="A81" s="8"/>
      <c r="B81" s="20">
        <v>43017</v>
      </c>
      <c r="C81" s="20" t="s">
        <v>275</v>
      </c>
      <c r="D81" s="92" t="s">
        <v>50</v>
      </c>
      <c r="E81" s="93"/>
      <c r="F81" s="94">
        <v>0.5</v>
      </c>
      <c r="G81" s="24"/>
      <c r="H81" s="25"/>
      <c r="I81" s="25"/>
      <c r="J81" s="24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56">
        <f t="shared" si="1"/>
        <v>0</v>
      </c>
      <c r="W81" s="146" t="s">
        <v>5</v>
      </c>
      <c r="X81" s="9">
        <v>3</v>
      </c>
    </row>
    <row r="82" spans="1:24" x14ac:dyDescent="0.55000000000000004">
      <c r="A82" s="8"/>
      <c r="B82" s="20">
        <v>43039</v>
      </c>
      <c r="C82" s="20" t="s">
        <v>276</v>
      </c>
      <c r="D82" s="92" t="s">
        <v>50</v>
      </c>
      <c r="E82" s="93"/>
      <c r="F82" s="94">
        <v>1.08</v>
      </c>
      <c r="G82" s="24"/>
      <c r="H82" s="25"/>
      <c r="I82" s="25"/>
      <c r="J82" s="24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56">
        <f t="shared" si="1"/>
        <v>0</v>
      </c>
      <c r="W82" s="146" t="s">
        <v>5</v>
      </c>
      <c r="X82" s="9">
        <v>3</v>
      </c>
    </row>
    <row r="83" spans="1:24" x14ac:dyDescent="0.55000000000000004">
      <c r="A83" s="8"/>
      <c r="B83" s="20">
        <v>43056</v>
      </c>
      <c r="C83" s="20" t="s">
        <v>278</v>
      </c>
      <c r="D83" s="92" t="s">
        <v>279</v>
      </c>
      <c r="E83" s="93" t="s">
        <v>115</v>
      </c>
      <c r="F83" s="94"/>
      <c r="G83" s="24">
        <v>75.599999999999994</v>
      </c>
      <c r="H83" s="25"/>
      <c r="I83" s="25"/>
      <c r="J83" s="24"/>
      <c r="K83" s="25">
        <v>12.6</v>
      </c>
      <c r="L83" s="25"/>
      <c r="M83" s="25"/>
      <c r="N83" s="25">
        <v>63</v>
      </c>
      <c r="O83" s="25"/>
      <c r="P83" s="25"/>
      <c r="Q83" s="25"/>
      <c r="R83" s="25"/>
      <c r="S83" s="25"/>
      <c r="T83" s="25"/>
      <c r="U83" s="25"/>
      <c r="V83" s="56">
        <f t="shared" si="1"/>
        <v>0</v>
      </c>
      <c r="W83" s="146" t="s">
        <v>14</v>
      </c>
      <c r="X83" s="9">
        <v>3</v>
      </c>
    </row>
    <row r="84" spans="1:24" x14ac:dyDescent="0.55000000000000004">
      <c r="A84" s="8"/>
      <c r="B84" s="20">
        <v>43056</v>
      </c>
      <c r="C84" s="20" t="s">
        <v>280</v>
      </c>
      <c r="D84" s="92" t="s">
        <v>169</v>
      </c>
      <c r="E84" s="93" t="s">
        <v>115</v>
      </c>
      <c r="F84" s="94"/>
      <c r="G84" s="24">
        <v>289.43</v>
      </c>
      <c r="H84" s="25"/>
      <c r="I84" s="25"/>
      <c r="J84" s="24"/>
      <c r="K84" s="25"/>
      <c r="L84" s="25">
        <v>289.43</v>
      </c>
      <c r="M84" s="25"/>
      <c r="N84" s="25"/>
      <c r="O84" s="25"/>
      <c r="P84" s="25"/>
      <c r="Q84" s="25"/>
      <c r="R84" s="25"/>
      <c r="S84" s="25"/>
      <c r="T84" s="25"/>
      <c r="U84" s="25"/>
      <c r="V84" s="56">
        <f t="shared" si="1"/>
        <v>0</v>
      </c>
      <c r="W84" s="146" t="s">
        <v>300</v>
      </c>
      <c r="X84" s="9">
        <v>1</v>
      </c>
    </row>
    <row r="85" spans="1:24" x14ac:dyDescent="0.55000000000000004">
      <c r="A85" s="8"/>
      <c r="B85" s="20">
        <v>43056</v>
      </c>
      <c r="C85" s="20" t="s">
        <v>281</v>
      </c>
      <c r="D85" s="92" t="s">
        <v>170</v>
      </c>
      <c r="E85" s="93" t="s">
        <v>115</v>
      </c>
      <c r="F85" s="94"/>
      <c r="G85" s="24">
        <v>42.8</v>
      </c>
      <c r="H85" s="25"/>
      <c r="I85" s="25"/>
      <c r="J85" s="24"/>
      <c r="K85" s="25"/>
      <c r="L85" s="25">
        <v>42.8</v>
      </c>
      <c r="M85" s="25"/>
      <c r="N85" s="25"/>
      <c r="O85" s="25"/>
      <c r="P85" s="25"/>
      <c r="Q85" s="25"/>
      <c r="R85" s="25"/>
      <c r="S85" s="25"/>
      <c r="T85" s="25"/>
      <c r="U85" s="25"/>
      <c r="V85" s="56">
        <f t="shared" si="1"/>
        <v>0</v>
      </c>
      <c r="W85" s="146" t="s">
        <v>300</v>
      </c>
      <c r="X85" s="9">
        <v>1</v>
      </c>
    </row>
    <row r="86" spans="1:24" x14ac:dyDescent="0.55000000000000004">
      <c r="A86" s="8"/>
      <c r="B86" s="20">
        <v>43056</v>
      </c>
      <c r="C86" s="20" t="s">
        <v>282</v>
      </c>
      <c r="D86" s="92" t="s">
        <v>261</v>
      </c>
      <c r="E86" s="93" t="s">
        <v>115</v>
      </c>
      <c r="F86" s="94"/>
      <c r="G86" s="24">
        <v>441</v>
      </c>
      <c r="H86" s="25"/>
      <c r="I86" s="25"/>
      <c r="J86" s="24"/>
      <c r="K86" s="25">
        <v>73.5</v>
      </c>
      <c r="L86" s="25"/>
      <c r="M86" s="25"/>
      <c r="N86" s="25">
        <v>367.5</v>
      </c>
      <c r="O86" s="25"/>
      <c r="P86" s="25"/>
      <c r="Q86" s="25"/>
      <c r="R86" s="25"/>
      <c r="S86" s="25"/>
      <c r="T86" s="25"/>
      <c r="U86" s="25"/>
      <c r="V86" s="56">
        <f t="shared" si="1"/>
        <v>0</v>
      </c>
      <c r="W86" s="146" t="s">
        <v>12</v>
      </c>
      <c r="X86" s="9">
        <v>10</v>
      </c>
    </row>
    <row r="87" spans="1:24" x14ac:dyDescent="0.55000000000000004">
      <c r="A87" s="8"/>
      <c r="B87" s="20">
        <v>43056</v>
      </c>
      <c r="C87" s="20" t="s">
        <v>283</v>
      </c>
      <c r="D87" s="92" t="s">
        <v>277</v>
      </c>
      <c r="E87" s="93" t="s">
        <v>115</v>
      </c>
      <c r="F87" s="94"/>
      <c r="G87" s="24">
        <v>190</v>
      </c>
      <c r="H87" s="25"/>
      <c r="I87" s="25"/>
      <c r="J87" s="24"/>
      <c r="K87" s="25">
        <v>31.67</v>
      </c>
      <c r="L87" s="25"/>
      <c r="M87" s="25"/>
      <c r="N87" s="25"/>
      <c r="O87" s="25"/>
      <c r="P87" s="25"/>
      <c r="Q87" s="25"/>
      <c r="R87" s="25"/>
      <c r="S87" s="25">
        <v>158.33000000000001</v>
      </c>
      <c r="T87" s="25"/>
      <c r="U87" s="25"/>
      <c r="V87" s="56">
        <f t="shared" si="1"/>
        <v>0</v>
      </c>
      <c r="W87" s="146" t="s">
        <v>299</v>
      </c>
      <c r="X87" s="9">
        <v>1</v>
      </c>
    </row>
    <row r="88" spans="1:24" x14ac:dyDescent="0.55000000000000004">
      <c r="A88" s="8"/>
      <c r="B88" s="20">
        <v>43056</v>
      </c>
      <c r="C88" s="20" t="s">
        <v>284</v>
      </c>
      <c r="D88" s="92" t="s">
        <v>269</v>
      </c>
      <c r="E88" s="93" t="s">
        <v>115</v>
      </c>
      <c r="F88" s="94"/>
      <c r="G88" s="24">
        <v>240</v>
      </c>
      <c r="H88" s="25"/>
      <c r="I88" s="25"/>
      <c r="J88" s="24"/>
      <c r="K88" s="25">
        <v>40</v>
      </c>
      <c r="L88" s="25"/>
      <c r="M88" s="25"/>
      <c r="N88" s="25"/>
      <c r="O88" s="25"/>
      <c r="P88" s="25"/>
      <c r="Q88" s="25"/>
      <c r="R88" s="25"/>
      <c r="S88" s="25"/>
      <c r="T88" s="25">
        <v>200</v>
      </c>
      <c r="U88" s="25"/>
      <c r="V88" s="56">
        <f t="shared" si="1"/>
        <v>0</v>
      </c>
      <c r="W88" s="146" t="s">
        <v>304</v>
      </c>
      <c r="X88" s="9">
        <v>1</v>
      </c>
    </row>
    <row r="89" spans="1:24" x14ac:dyDescent="0.55000000000000004">
      <c r="A89" s="8"/>
      <c r="B89" s="20">
        <v>43056</v>
      </c>
      <c r="C89" s="20" t="s">
        <v>288</v>
      </c>
      <c r="D89" s="92" t="s">
        <v>215</v>
      </c>
      <c r="E89" s="93" t="s">
        <v>115</v>
      </c>
      <c r="F89" s="94"/>
      <c r="G89" s="24">
        <v>1400</v>
      </c>
      <c r="H89" s="25"/>
      <c r="I89" s="25"/>
      <c r="J89" s="24"/>
      <c r="K89" s="25"/>
      <c r="L89" s="25"/>
      <c r="M89" s="25"/>
      <c r="N89" s="25"/>
      <c r="O89" s="25"/>
      <c r="P89" s="25"/>
      <c r="Q89" s="25">
        <v>1400</v>
      </c>
      <c r="R89" s="25"/>
      <c r="S89" s="25"/>
      <c r="T89" s="25"/>
      <c r="U89" s="25"/>
      <c r="V89" s="56">
        <f t="shared" si="1"/>
        <v>0</v>
      </c>
      <c r="W89" s="146" t="s">
        <v>14</v>
      </c>
      <c r="X89" s="9">
        <v>1</v>
      </c>
    </row>
    <row r="90" spans="1:24" x14ac:dyDescent="0.55000000000000004">
      <c r="A90" s="8"/>
      <c r="B90" s="20">
        <v>43056</v>
      </c>
      <c r="C90" s="20" t="s">
        <v>285</v>
      </c>
      <c r="D90" s="92" t="s">
        <v>240</v>
      </c>
      <c r="E90" s="93" t="s">
        <v>115</v>
      </c>
      <c r="F90" s="94"/>
      <c r="G90" s="24">
        <v>153.6</v>
      </c>
      <c r="H90" s="25"/>
      <c r="I90" s="25"/>
      <c r="J90" s="24"/>
      <c r="K90" s="25">
        <v>25.6</v>
      </c>
      <c r="L90" s="25"/>
      <c r="M90" s="25"/>
      <c r="N90" s="25">
        <v>128</v>
      </c>
      <c r="O90" s="25"/>
      <c r="P90" s="25"/>
      <c r="Q90" s="25"/>
      <c r="R90" s="25"/>
      <c r="S90" s="25"/>
      <c r="T90" s="25"/>
      <c r="U90" s="25"/>
      <c r="V90" s="56">
        <f t="shared" si="1"/>
        <v>0</v>
      </c>
      <c r="W90" s="146" t="s">
        <v>12</v>
      </c>
      <c r="X90" s="9">
        <v>11</v>
      </c>
    </row>
    <row r="91" spans="1:24" x14ac:dyDescent="0.55000000000000004">
      <c r="A91" s="8"/>
      <c r="B91" s="20">
        <v>43056</v>
      </c>
      <c r="C91" s="20" t="s">
        <v>286</v>
      </c>
      <c r="D91" s="92" t="s">
        <v>287</v>
      </c>
      <c r="E91" s="93" t="s">
        <v>115</v>
      </c>
      <c r="F91" s="94"/>
      <c r="G91" s="24">
        <v>30</v>
      </c>
      <c r="H91" s="25"/>
      <c r="I91" s="25"/>
      <c r="J91" s="24"/>
      <c r="K91" s="25"/>
      <c r="L91" s="25"/>
      <c r="M91" s="25"/>
      <c r="N91" s="25">
        <v>30</v>
      </c>
      <c r="O91" s="25"/>
      <c r="P91" s="25"/>
      <c r="Q91" s="25"/>
      <c r="R91" s="25"/>
      <c r="S91" s="25"/>
      <c r="T91" s="25"/>
      <c r="U91" s="25"/>
      <c r="V91" s="56">
        <f t="shared" si="1"/>
        <v>0</v>
      </c>
      <c r="W91" s="146" t="s">
        <v>306</v>
      </c>
      <c r="X91" s="9">
        <v>1</v>
      </c>
    </row>
    <row r="92" spans="1:24" x14ac:dyDescent="0.55000000000000004">
      <c r="A92" s="8"/>
      <c r="B92" s="20">
        <v>43055</v>
      </c>
      <c r="C92" s="20" t="s">
        <v>289</v>
      </c>
      <c r="D92" s="92" t="s">
        <v>123</v>
      </c>
      <c r="E92" s="93" t="s">
        <v>112</v>
      </c>
      <c r="F92" s="94"/>
      <c r="G92" s="24">
        <v>28.2</v>
      </c>
      <c r="H92" s="25"/>
      <c r="I92" s="25"/>
      <c r="J92" s="24"/>
      <c r="K92" s="25">
        <v>4.7</v>
      </c>
      <c r="L92" s="25"/>
      <c r="M92" s="25"/>
      <c r="N92" s="25"/>
      <c r="O92" s="25"/>
      <c r="P92" s="25"/>
      <c r="Q92" s="25"/>
      <c r="R92" s="25"/>
      <c r="S92" s="25">
        <v>23.5</v>
      </c>
      <c r="T92" s="25"/>
      <c r="U92" s="25"/>
      <c r="V92" s="56">
        <f t="shared" si="1"/>
        <v>0</v>
      </c>
      <c r="W92" s="146" t="s">
        <v>300</v>
      </c>
      <c r="X92" s="9">
        <v>4</v>
      </c>
    </row>
    <row r="93" spans="1:24" x14ac:dyDescent="0.55000000000000004">
      <c r="A93" s="8"/>
      <c r="B93" s="20">
        <v>43048</v>
      </c>
      <c r="C93" s="20" t="s">
        <v>290</v>
      </c>
      <c r="D93" s="92" t="s">
        <v>50</v>
      </c>
      <c r="E93" s="93"/>
      <c r="F93" s="94">
        <v>0.45</v>
      </c>
      <c r="G93" s="24"/>
      <c r="H93" s="25"/>
      <c r="I93" s="25">
        <v>0.45</v>
      </c>
      <c r="J93" s="24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56">
        <f t="shared" si="1"/>
        <v>0</v>
      </c>
      <c r="W93" s="146" t="s">
        <v>5</v>
      </c>
      <c r="X93" s="9">
        <v>3</v>
      </c>
    </row>
    <row r="94" spans="1:24" x14ac:dyDescent="0.55000000000000004">
      <c r="A94" s="8"/>
      <c r="B94" s="20">
        <v>43068</v>
      </c>
      <c r="C94" s="20" t="s">
        <v>311</v>
      </c>
      <c r="D94" s="92" t="s">
        <v>312</v>
      </c>
      <c r="E94" s="93">
        <v>1344</v>
      </c>
      <c r="F94" s="94"/>
      <c r="G94" s="24">
        <v>100</v>
      </c>
      <c r="H94" s="25"/>
      <c r="I94" s="25"/>
      <c r="J94" s="24"/>
      <c r="K94" s="25"/>
      <c r="L94" s="25"/>
      <c r="M94" s="25"/>
      <c r="N94" s="25">
        <v>100</v>
      </c>
      <c r="O94" s="25"/>
      <c r="P94" s="25"/>
      <c r="Q94" s="25"/>
      <c r="R94" s="25"/>
      <c r="S94" s="25"/>
      <c r="T94" s="25"/>
      <c r="U94" s="25"/>
      <c r="V94" s="56">
        <f t="shared" si="1"/>
        <v>0</v>
      </c>
      <c r="W94" s="261" t="s">
        <v>299</v>
      </c>
      <c r="X94" s="9">
        <v>1</v>
      </c>
    </row>
    <row r="95" spans="1:24" x14ac:dyDescent="0.55000000000000004">
      <c r="A95" s="8"/>
      <c r="B95" s="20">
        <v>43062</v>
      </c>
      <c r="C95" s="20" t="s">
        <v>313</v>
      </c>
      <c r="D95" s="92" t="s">
        <v>314</v>
      </c>
      <c r="E95" s="93"/>
      <c r="F95" s="94">
        <v>2996.42</v>
      </c>
      <c r="G95" s="24"/>
      <c r="H95" s="25"/>
      <c r="I95" s="25"/>
      <c r="J95" s="24">
        <v>2996.42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56">
        <f t="shared" si="1"/>
        <v>0</v>
      </c>
      <c r="W95" s="262" t="s">
        <v>5</v>
      </c>
      <c r="X95" s="9">
        <v>4</v>
      </c>
    </row>
    <row r="96" spans="1:24" x14ac:dyDescent="0.55000000000000004">
      <c r="A96" s="8"/>
      <c r="B96" s="20">
        <v>43069</v>
      </c>
      <c r="C96" s="20" t="s">
        <v>315</v>
      </c>
      <c r="D96" s="92" t="s">
        <v>316</v>
      </c>
      <c r="E96" s="93">
        <v>1343</v>
      </c>
      <c r="F96" s="94"/>
      <c r="G96" s="24">
        <v>1</v>
      </c>
      <c r="H96" s="25"/>
      <c r="I96" s="25"/>
      <c r="J96" s="24"/>
      <c r="K96" s="25"/>
      <c r="L96" s="25"/>
      <c r="M96" s="25"/>
      <c r="N96" s="25"/>
      <c r="O96" s="25">
        <v>1</v>
      </c>
      <c r="P96" s="25"/>
      <c r="Q96" s="25"/>
      <c r="R96" s="25"/>
      <c r="S96" s="25"/>
      <c r="T96" s="25"/>
      <c r="U96" s="25"/>
      <c r="V96" s="56">
        <f t="shared" si="1"/>
        <v>0</v>
      </c>
      <c r="W96" s="262" t="s">
        <v>12</v>
      </c>
      <c r="X96" s="9">
        <v>7</v>
      </c>
    </row>
    <row r="97" spans="1:24" x14ac:dyDescent="0.55000000000000004">
      <c r="A97" s="8"/>
      <c r="B97" s="20">
        <v>43060</v>
      </c>
      <c r="C97" s="20" t="s">
        <v>317</v>
      </c>
      <c r="D97" s="92" t="s">
        <v>318</v>
      </c>
      <c r="E97" s="93" t="s">
        <v>319</v>
      </c>
      <c r="F97" s="94"/>
      <c r="G97" s="24">
        <v>50</v>
      </c>
      <c r="H97" s="25"/>
      <c r="I97" s="25"/>
      <c r="J97" s="24"/>
      <c r="K97" s="25"/>
      <c r="L97" s="25"/>
      <c r="M97" s="25"/>
      <c r="N97" s="25"/>
      <c r="O97" s="25"/>
      <c r="P97" s="25"/>
      <c r="Q97" s="25"/>
      <c r="R97" s="25">
        <v>50</v>
      </c>
      <c r="S97" s="25"/>
      <c r="T97" s="25"/>
      <c r="U97" s="25"/>
      <c r="V97" s="56">
        <f t="shared" si="1"/>
        <v>0</v>
      </c>
      <c r="W97" s="263" t="s">
        <v>10</v>
      </c>
      <c r="X97" s="9">
        <v>5</v>
      </c>
    </row>
    <row r="98" spans="1:24" x14ac:dyDescent="0.55000000000000004">
      <c r="A98" s="8"/>
      <c r="B98" s="20">
        <v>43069</v>
      </c>
      <c r="C98" s="20" t="s">
        <v>320</v>
      </c>
      <c r="D98" s="92" t="s">
        <v>321</v>
      </c>
      <c r="E98" s="93" t="s">
        <v>115</v>
      </c>
      <c r="F98" s="94">
        <v>500</v>
      </c>
      <c r="G98" s="24"/>
      <c r="H98" s="25"/>
      <c r="I98" s="25"/>
      <c r="J98" s="24">
        <v>500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56">
        <f t="shared" si="1"/>
        <v>0</v>
      </c>
      <c r="W98" s="262" t="s">
        <v>5</v>
      </c>
      <c r="X98" s="9">
        <v>5</v>
      </c>
    </row>
    <row r="99" spans="1:24" x14ac:dyDescent="0.55000000000000004">
      <c r="A99" s="8"/>
      <c r="B99" s="20">
        <v>43069</v>
      </c>
      <c r="C99" s="20" t="s">
        <v>322</v>
      </c>
      <c r="D99" s="92" t="s">
        <v>50</v>
      </c>
      <c r="E99" s="93"/>
      <c r="F99" s="94">
        <v>1.85</v>
      </c>
      <c r="G99" s="24"/>
      <c r="H99" s="25"/>
      <c r="I99" s="25">
        <v>1.85</v>
      </c>
      <c r="J99" s="24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56">
        <f t="shared" si="1"/>
        <v>0</v>
      </c>
      <c r="W99" s="263" t="s">
        <v>5</v>
      </c>
      <c r="X99" s="9">
        <v>3</v>
      </c>
    </row>
    <row r="100" spans="1:24" x14ac:dyDescent="0.55000000000000004">
      <c r="A100" s="8"/>
      <c r="B100" s="20">
        <v>43073</v>
      </c>
      <c r="C100" s="20" t="s">
        <v>350</v>
      </c>
      <c r="D100" s="92" t="s">
        <v>351</v>
      </c>
      <c r="E100" s="93" t="s">
        <v>115</v>
      </c>
      <c r="F100" s="94"/>
      <c r="G100" s="24">
        <v>200</v>
      </c>
      <c r="H100" s="25"/>
      <c r="I100" s="25"/>
      <c r="J100" s="24"/>
      <c r="K100" s="25"/>
      <c r="L100" s="25"/>
      <c r="M100" s="25"/>
      <c r="N100" s="25">
        <v>200</v>
      </c>
      <c r="O100" s="25"/>
      <c r="P100" s="25"/>
      <c r="Q100" s="25"/>
      <c r="R100" s="25"/>
      <c r="S100" s="25"/>
      <c r="T100" s="25"/>
      <c r="U100" s="25"/>
      <c r="V100" s="56">
        <f t="shared" si="1"/>
        <v>0</v>
      </c>
      <c r="W100" s="293" t="s">
        <v>299</v>
      </c>
      <c r="X100" s="9">
        <v>1</v>
      </c>
    </row>
    <row r="101" spans="1:24" x14ac:dyDescent="0.55000000000000004">
      <c r="A101" s="8"/>
      <c r="B101" s="20">
        <v>43091</v>
      </c>
      <c r="C101" s="20" t="s">
        <v>352</v>
      </c>
      <c r="D101" s="92" t="s">
        <v>353</v>
      </c>
      <c r="E101" s="93" t="s">
        <v>115</v>
      </c>
      <c r="F101" s="94"/>
      <c r="G101" s="24">
        <v>400</v>
      </c>
      <c r="H101" s="25"/>
      <c r="I101" s="25"/>
      <c r="J101" s="24"/>
      <c r="K101" s="25"/>
      <c r="L101" s="25"/>
      <c r="M101" s="25"/>
      <c r="N101" s="25"/>
      <c r="O101" s="25">
        <v>400</v>
      </c>
      <c r="P101" s="25"/>
      <c r="Q101" s="25"/>
      <c r="R101" s="25"/>
      <c r="S101" s="25"/>
      <c r="T101" s="25"/>
      <c r="U101" s="25"/>
      <c r="V101" s="56">
        <f t="shared" si="1"/>
        <v>0</v>
      </c>
      <c r="W101" s="293" t="s">
        <v>12</v>
      </c>
      <c r="X101" s="9">
        <v>11</v>
      </c>
    </row>
    <row r="102" spans="1:24" x14ac:dyDescent="0.55000000000000004">
      <c r="A102" s="8"/>
      <c r="B102" s="20">
        <v>43091</v>
      </c>
      <c r="C102" s="20" t="s">
        <v>354</v>
      </c>
      <c r="D102" s="92" t="s">
        <v>355</v>
      </c>
      <c r="E102" s="93" t="s">
        <v>115</v>
      </c>
      <c r="F102" s="94"/>
      <c r="G102" s="24">
        <v>3479.77</v>
      </c>
      <c r="H102" s="25"/>
      <c r="I102" s="25"/>
      <c r="J102" s="24"/>
      <c r="K102" s="25"/>
      <c r="L102" s="25">
        <v>3479.77</v>
      </c>
      <c r="M102" s="25"/>
      <c r="N102" s="25"/>
      <c r="O102" s="25"/>
      <c r="P102" s="25"/>
      <c r="Q102" s="25"/>
      <c r="R102" s="25"/>
      <c r="S102" s="25"/>
      <c r="T102" s="25"/>
      <c r="U102" s="25"/>
      <c r="V102" s="56">
        <f t="shared" si="1"/>
        <v>0</v>
      </c>
      <c r="W102" s="297" t="s">
        <v>12</v>
      </c>
      <c r="X102" s="9">
        <v>5</v>
      </c>
    </row>
    <row r="103" spans="1:24" x14ac:dyDescent="0.55000000000000004">
      <c r="A103" s="8"/>
      <c r="B103" s="20">
        <v>43091</v>
      </c>
      <c r="C103" s="20" t="s">
        <v>356</v>
      </c>
      <c r="D103" s="92" t="s">
        <v>169</v>
      </c>
      <c r="E103" s="93" t="s">
        <v>115</v>
      </c>
      <c r="F103" s="94"/>
      <c r="G103" s="24">
        <v>250.72</v>
      </c>
      <c r="H103" s="25"/>
      <c r="I103" s="25"/>
      <c r="J103" s="24"/>
      <c r="K103" s="25"/>
      <c r="L103" s="25">
        <v>250.72</v>
      </c>
      <c r="M103" s="25"/>
      <c r="N103" s="25"/>
      <c r="O103" s="25"/>
      <c r="P103" s="25"/>
      <c r="Q103" s="25"/>
      <c r="R103" s="25"/>
      <c r="S103" s="25"/>
      <c r="T103" s="25"/>
      <c r="U103" s="25"/>
      <c r="V103" s="56">
        <f t="shared" si="1"/>
        <v>0</v>
      </c>
      <c r="W103" s="293" t="s">
        <v>300</v>
      </c>
      <c r="X103" s="9">
        <v>1</v>
      </c>
    </row>
    <row r="104" spans="1:24" x14ac:dyDescent="0.55000000000000004">
      <c r="A104" s="8"/>
      <c r="B104" s="20">
        <v>43091</v>
      </c>
      <c r="C104" s="20" t="s">
        <v>357</v>
      </c>
      <c r="D104" s="92" t="s">
        <v>170</v>
      </c>
      <c r="E104" s="93" t="s">
        <v>115</v>
      </c>
      <c r="F104" s="94"/>
      <c r="G104" s="24">
        <v>20</v>
      </c>
      <c r="H104" s="25"/>
      <c r="I104" s="25"/>
      <c r="J104" s="24"/>
      <c r="K104" s="25"/>
      <c r="L104" s="25">
        <v>20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56">
        <f t="shared" si="1"/>
        <v>0</v>
      </c>
      <c r="W104" s="293" t="s">
        <v>300</v>
      </c>
      <c r="X104" s="9">
        <v>1</v>
      </c>
    </row>
    <row r="105" spans="1:24" x14ac:dyDescent="0.55000000000000004">
      <c r="A105" s="8"/>
      <c r="B105" s="20">
        <v>43091</v>
      </c>
      <c r="C105" s="20" t="s">
        <v>358</v>
      </c>
      <c r="D105" s="92" t="s">
        <v>359</v>
      </c>
      <c r="E105" s="93" t="s">
        <v>115</v>
      </c>
      <c r="F105" s="94"/>
      <c r="G105" s="24">
        <v>14.99</v>
      </c>
      <c r="H105" s="25"/>
      <c r="I105" s="25"/>
      <c r="J105" s="24"/>
      <c r="K105" s="25">
        <v>2.5</v>
      </c>
      <c r="L105" s="25"/>
      <c r="M105" s="25"/>
      <c r="N105" s="25"/>
      <c r="O105" s="25">
        <v>12.49</v>
      </c>
      <c r="P105" s="25"/>
      <c r="Q105" s="25"/>
      <c r="R105" s="25"/>
      <c r="S105" s="25"/>
      <c r="T105" s="25"/>
      <c r="U105" s="25"/>
      <c r="V105" s="56">
        <f t="shared" si="1"/>
        <v>0</v>
      </c>
      <c r="W105" s="293" t="s">
        <v>12</v>
      </c>
      <c r="X105" s="9">
        <v>11</v>
      </c>
    </row>
    <row r="106" spans="1:24" x14ac:dyDescent="0.55000000000000004">
      <c r="A106" s="8"/>
      <c r="B106" s="20">
        <v>43091</v>
      </c>
      <c r="C106" s="20" t="s">
        <v>360</v>
      </c>
      <c r="D106" s="92" t="s">
        <v>361</v>
      </c>
      <c r="E106" s="93" t="s">
        <v>115</v>
      </c>
      <c r="F106" s="94"/>
      <c r="G106" s="24">
        <v>119.99</v>
      </c>
      <c r="H106" s="25"/>
      <c r="I106" s="25"/>
      <c r="J106" s="24"/>
      <c r="K106" s="25">
        <v>20</v>
      </c>
      <c r="L106" s="25"/>
      <c r="M106" s="25"/>
      <c r="N106" s="25"/>
      <c r="O106" s="25">
        <v>99.99</v>
      </c>
      <c r="P106" s="25"/>
      <c r="Q106" s="25"/>
      <c r="R106" s="25"/>
      <c r="S106" s="25"/>
      <c r="T106" s="25"/>
      <c r="U106" s="25"/>
      <c r="V106" s="56">
        <f t="shared" si="1"/>
        <v>0</v>
      </c>
      <c r="W106" s="293" t="s">
        <v>12</v>
      </c>
      <c r="X106" s="9">
        <v>4</v>
      </c>
    </row>
    <row r="107" spans="1:24" x14ac:dyDescent="0.55000000000000004">
      <c r="A107" s="8"/>
      <c r="B107" s="20">
        <v>43091</v>
      </c>
      <c r="C107" s="20" t="s">
        <v>362</v>
      </c>
      <c r="D107" s="92" t="s">
        <v>363</v>
      </c>
      <c r="E107" s="93" t="s">
        <v>115</v>
      </c>
      <c r="F107" s="94"/>
      <c r="G107" s="24">
        <v>8.99</v>
      </c>
      <c r="H107" s="25"/>
      <c r="I107" s="25"/>
      <c r="J107" s="24"/>
      <c r="K107" s="25">
        <v>1.5</v>
      </c>
      <c r="L107" s="25"/>
      <c r="M107" s="25"/>
      <c r="N107" s="25"/>
      <c r="O107" s="25">
        <v>7.49</v>
      </c>
      <c r="P107" s="25"/>
      <c r="Q107" s="25"/>
      <c r="R107" s="25"/>
      <c r="S107" s="25"/>
      <c r="T107" s="25"/>
      <c r="U107" s="25"/>
      <c r="V107" s="56">
        <f t="shared" si="1"/>
        <v>0</v>
      </c>
      <c r="W107" s="293" t="s">
        <v>12</v>
      </c>
      <c r="X107" s="9">
        <v>4</v>
      </c>
    </row>
    <row r="108" spans="1:24" x14ac:dyDescent="0.55000000000000004">
      <c r="A108" s="8"/>
      <c r="B108" s="20">
        <v>43091</v>
      </c>
      <c r="C108" s="20" t="s">
        <v>364</v>
      </c>
      <c r="D108" s="92" t="s">
        <v>206</v>
      </c>
      <c r="E108" s="93" t="s">
        <v>115</v>
      </c>
      <c r="F108" s="94"/>
      <c r="G108" s="24">
        <v>197.96</v>
      </c>
      <c r="H108" s="25"/>
      <c r="I108" s="25"/>
      <c r="J108" s="24"/>
      <c r="K108" s="25">
        <v>32.99</v>
      </c>
      <c r="L108" s="25"/>
      <c r="M108" s="25"/>
      <c r="N108" s="25"/>
      <c r="O108" s="25"/>
      <c r="P108" s="25"/>
      <c r="Q108" s="25"/>
      <c r="R108" s="25"/>
      <c r="S108" s="25">
        <v>164.97</v>
      </c>
      <c r="T108" s="25"/>
      <c r="U108" s="25"/>
      <c r="V108" s="56">
        <f t="shared" si="1"/>
        <v>0</v>
      </c>
      <c r="W108" s="293" t="s">
        <v>300</v>
      </c>
      <c r="X108" s="9">
        <v>11</v>
      </c>
    </row>
    <row r="109" spans="1:24" x14ac:dyDescent="0.55000000000000004">
      <c r="A109" s="8"/>
      <c r="B109" s="20">
        <v>43092</v>
      </c>
      <c r="C109" s="20" t="s">
        <v>365</v>
      </c>
      <c r="D109" s="92" t="s">
        <v>366</v>
      </c>
      <c r="E109" s="93" t="s">
        <v>115</v>
      </c>
      <c r="F109" s="94"/>
      <c r="G109" s="24">
        <v>1940</v>
      </c>
      <c r="H109" s="25"/>
      <c r="I109" s="25"/>
      <c r="J109" s="24"/>
      <c r="K109" s="25"/>
      <c r="L109" s="25"/>
      <c r="M109" s="25"/>
      <c r="N109" s="25"/>
      <c r="O109" s="25">
        <v>1940</v>
      </c>
      <c r="P109" s="25"/>
      <c r="Q109" s="25"/>
      <c r="R109" s="25"/>
      <c r="S109" s="25"/>
      <c r="T109" s="25"/>
      <c r="U109" s="25"/>
      <c r="V109" s="56">
        <f t="shared" si="1"/>
        <v>0</v>
      </c>
      <c r="W109" s="293" t="s">
        <v>12</v>
      </c>
      <c r="X109" s="9">
        <v>11</v>
      </c>
    </row>
    <row r="110" spans="1:24" x14ac:dyDescent="0.55000000000000004">
      <c r="A110" s="8"/>
      <c r="B110" s="20">
        <v>43092</v>
      </c>
      <c r="C110" s="20" t="s">
        <v>367</v>
      </c>
      <c r="D110" s="92" t="s">
        <v>349</v>
      </c>
      <c r="E110" s="93" t="s">
        <v>115</v>
      </c>
      <c r="F110" s="94"/>
      <c r="G110" s="24">
        <v>421</v>
      </c>
      <c r="H110" s="25"/>
      <c r="I110" s="25"/>
      <c r="J110" s="24"/>
      <c r="K110" s="25"/>
      <c r="L110" s="25"/>
      <c r="M110" s="25"/>
      <c r="N110" s="25"/>
      <c r="O110" s="25">
        <v>421</v>
      </c>
      <c r="P110" s="25"/>
      <c r="Q110" s="25"/>
      <c r="R110" s="25"/>
      <c r="S110" s="25"/>
      <c r="T110" s="25"/>
      <c r="U110" s="25"/>
      <c r="V110" s="56">
        <f t="shared" si="1"/>
        <v>0</v>
      </c>
      <c r="W110" s="293" t="s">
        <v>12</v>
      </c>
      <c r="X110" s="9">
        <v>11</v>
      </c>
    </row>
    <row r="111" spans="1:24" x14ac:dyDescent="0.55000000000000004">
      <c r="A111" s="8"/>
      <c r="B111" s="20">
        <v>43079</v>
      </c>
      <c r="C111" s="20" t="s">
        <v>368</v>
      </c>
      <c r="D111" s="92" t="s">
        <v>123</v>
      </c>
      <c r="E111" s="93" t="s">
        <v>112</v>
      </c>
      <c r="F111" s="94"/>
      <c r="G111" s="24">
        <v>28.2</v>
      </c>
      <c r="H111" s="25"/>
      <c r="I111" s="25"/>
      <c r="J111" s="24"/>
      <c r="K111" s="25">
        <v>4.7</v>
      </c>
      <c r="L111" s="25"/>
      <c r="M111" s="25"/>
      <c r="N111" s="25"/>
      <c r="O111" s="25"/>
      <c r="P111" s="25"/>
      <c r="Q111" s="25"/>
      <c r="R111" s="25"/>
      <c r="S111" s="25">
        <v>23.5</v>
      </c>
      <c r="T111" s="25"/>
      <c r="U111" s="25"/>
      <c r="V111" s="56">
        <f t="shared" si="1"/>
        <v>0</v>
      </c>
      <c r="W111" s="293" t="s">
        <v>300</v>
      </c>
      <c r="X111" s="9">
        <v>4</v>
      </c>
    </row>
    <row r="112" spans="1:24" x14ac:dyDescent="0.55000000000000004">
      <c r="A112" s="8"/>
      <c r="B112" s="20">
        <v>43091</v>
      </c>
      <c r="C112" s="20" t="s">
        <v>369</v>
      </c>
      <c r="D112" s="92" t="s">
        <v>370</v>
      </c>
      <c r="E112" s="93" t="s">
        <v>115</v>
      </c>
      <c r="F112" s="94"/>
      <c r="G112" s="24">
        <v>480</v>
      </c>
      <c r="H112" s="25"/>
      <c r="I112" s="25"/>
      <c r="J112" s="24"/>
      <c r="K112" s="25"/>
      <c r="L112" s="25"/>
      <c r="M112" s="25"/>
      <c r="N112" s="25"/>
      <c r="O112" s="25">
        <v>480</v>
      </c>
      <c r="P112" s="25"/>
      <c r="Q112" s="25"/>
      <c r="R112" s="25"/>
      <c r="S112" s="25"/>
      <c r="T112" s="25"/>
      <c r="U112" s="25"/>
      <c r="V112" s="56">
        <f t="shared" si="1"/>
        <v>0</v>
      </c>
      <c r="W112" s="293" t="s">
        <v>12</v>
      </c>
      <c r="X112" s="9">
        <v>11</v>
      </c>
    </row>
    <row r="113" spans="1:24" x14ac:dyDescent="0.55000000000000004">
      <c r="A113" s="8"/>
      <c r="B113" s="20">
        <v>43080</v>
      </c>
      <c r="C113" s="20" t="s">
        <v>371</v>
      </c>
      <c r="D113" s="92" t="s">
        <v>50</v>
      </c>
      <c r="E113" s="93"/>
      <c r="F113" s="94">
        <v>0.22</v>
      </c>
      <c r="G113" s="24"/>
      <c r="H113" s="25"/>
      <c r="I113" s="25">
        <v>0.22</v>
      </c>
      <c r="J113" s="24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56">
        <f t="shared" si="1"/>
        <v>0</v>
      </c>
      <c r="W113" s="293" t="s">
        <v>5</v>
      </c>
      <c r="X113" s="9">
        <v>3</v>
      </c>
    </row>
    <row r="114" spans="1:24" x14ac:dyDescent="0.55000000000000004">
      <c r="A114" s="8"/>
      <c r="B114" s="20">
        <v>43084</v>
      </c>
      <c r="C114" s="20" t="s">
        <v>372</v>
      </c>
      <c r="D114" s="92" t="s">
        <v>21</v>
      </c>
      <c r="E114" s="93" t="s">
        <v>112</v>
      </c>
      <c r="F114" s="94"/>
      <c r="G114" s="24">
        <v>25</v>
      </c>
      <c r="H114" s="25"/>
      <c r="I114" s="25"/>
      <c r="J114" s="24"/>
      <c r="K114" s="25"/>
      <c r="L114" s="25"/>
      <c r="M114" s="25"/>
      <c r="N114" s="25"/>
      <c r="O114" s="25"/>
      <c r="P114" s="25"/>
      <c r="Q114" s="25"/>
      <c r="R114" s="25">
        <v>25</v>
      </c>
      <c r="S114" s="25"/>
      <c r="T114" s="25"/>
      <c r="U114" s="25"/>
      <c r="V114" s="56">
        <f t="shared" si="1"/>
        <v>0</v>
      </c>
      <c r="W114" s="293" t="s">
        <v>10</v>
      </c>
      <c r="X114" s="9">
        <v>4</v>
      </c>
    </row>
    <row r="115" spans="1:24" x14ac:dyDescent="0.55000000000000004">
      <c r="A115" s="8"/>
      <c r="B115" s="20">
        <v>43098</v>
      </c>
      <c r="C115" s="20" t="s">
        <v>373</v>
      </c>
      <c r="D115" s="92" t="s">
        <v>50</v>
      </c>
      <c r="E115" s="93"/>
      <c r="F115" s="94">
        <v>3.01</v>
      </c>
      <c r="G115" s="24"/>
      <c r="H115" s="25"/>
      <c r="I115" s="25">
        <v>3.01</v>
      </c>
      <c r="J115" s="24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56">
        <f t="shared" si="1"/>
        <v>0</v>
      </c>
      <c r="W115" s="294" t="s">
        <v>5</v>
      </c>
      <c r="X115" s="9">
        <v>3</v>
      </c>
    </row>
    <row r="116" spans="1:24" x14ac:dyDescent="0.55000000000000004">
      <c r="A116" s="8"/>
      <c r="B116" s="20">
        <v>43109</v>
      </c>
      <c r="C116" s="20" t="s">
        <v>374</v>
      </c>
      <c r="D116" s="92" t="s">
        <v>261</v>
      </c>
      <c r="E116" s="93" t="s">
        <v>115</v>
      </c>
      <c r="F116" s="94"/>
      <c r="G116" s="24">
        <v>686.16</v>
      </c>
      <c r="H116" s="25"/>
      <c r="I116" s="25"/>
      <c r="J116" s="24"/>
      <c r="K116" s="25">
        <v>114.36</v>
      </c>
      <c r="L116" s="25"/>
      <c r="M116" s="25"/>
      <c r="N116" s="25">
        <v>571.79999999999995</v>
      </c>
      <c r="O116" s="25"/>
      <c r="P116" s="25"/>
      <c r="Q116" s="25"/>
      <c r="R116" s="25"/>
      <c r="S116" s="25"/>
      <c r="T116" s="25"/>
      <c r="U116" s="25"/>
      <c r="V116" s="56">
        <f t="shared" si="1"/>
        <v>0</v>
      </c>
      <c r="W116" s="295" t="s">
        <v>12</v>
      </c>
      <c r="X116" s="9">
        <v>10</v>
      </c>
    </row>
    <row r="117" spans="1:24" x14ac:dyDescent="0.55000000000000004">
      <c r="A117" s="8"/>
      <c r="B117" s="20">
        <v>43120</v>
      </c>
      <c r="C117" s="20" t="s">
        <v>375</v>
      </c>
      <c r="D117" s="92" t="s">
        <v>169</v>
      </c>
      <c r="E117" s="93" t="s">
        <v>115</v>
      </c>
      <c r="F117" s="94"/>
      <c r="G117" s="24">
        <v>188.4</v>
      </c>
      <c r="H117" s="25"/>
      <c r="I117" s="25"/>
      <c r="J117" s="24"/>
      <c r="K117" s="25"/>
      <c r="L117" s="25">
        <v>188.4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56">
        <f t="shared" si="1"/>
        <v>0</v>
      </c>
      <c r="W117" s="295" t="s">
        <v>300</v>
      </c>
      <c r="X117" s="9">
        <v>1</v>
      </c>
    </row>
    <row r="118" spans="1:24" x14ac:dyDescent="0.55000000000000004">
      <c r="A118" s="8"/>
      <c r="B118" s="20">
        <v>43120</v>
      </c>
      <c r="C118" s="20" t="s">
        <v>376</v>
      </c>
      <c r="D118" s="92" t="s">
        <v>170</v>
      </c>
      <c r="E118" s="93" t="s">
        <v>115</v>
      </c>
      <c r="F118" s="94"/>
      <c r="G118" s="24">
        <v>4.5999999999999996</v>
      </c>
      <c r="H118" s="25"/>
      <c r="I118" s="25"/>
      <c r="J118" s="24"/>
      <c r="K118" s="25"/>
      <c r="L118" s="25">
        <v>4.5999999999999996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56">
        <f t="shared" si="1"/>
        <v>0</v>
      </c>
      <c r="W118" s="295" t="s">
        <v>300</v>
      </c>
      <c r="X118" s="9">
        <v>1</v>
      </c>
    </row>
    <row r="119" spans="1:24" x14ac:dyDescent="0.55000000000000004">
      <c r="A119" s="8"/>
      <c r="B119" s="20">
        <v>43120</v>
      </c>
      <c r="C119" s="20" t="s">
        <v>377</v>
      </c>
      <c r="D119" s="92" t="s">
        <v>378</v>
      </c>
      <c r="E119" s="93" t="s">
        <v>115</v>
      </c>
      <c r="F119" s="94"/>
      <c r="G119" s="24">
        <v>185</v>
      </c>
      <c r="H119" s="25"/>
      <c r="I119" s="25"/>
      <c r="J119" s="24"/>
      <c r="K119" s="25"/>
      <c r="L119" s="25"/>
      <c r="M119" s="25"/>
      <c r="N119" s="25"/>
      <c r="O119" s="25">
        <v>185</v>
      </c>
      <c r="P119" s="25"/>
      <c r="Q119" s="25"/>
      <c r="R119" s="25"/>
      <c r="S119" s="25"/>
      <c r="T119" s="25"/>
      <c r="U119" s="25"/>
      <c r="V119" s="56">
        <f t="shared" si="1"/>
        <v>0</v>
      </c>
      <c r="W119" s="295" t="s">
        <v>12</v>
      </c>
      <c r="X119" s="9">
        <v>11</v>
      </c>
    </row>
    <row r="120" spans="1:24" x14ac:dyDescent="0.55000000000000004">
      <c r="A120" s="8"/>
      <c r="B120" s="20">
        <v>43120</v>
      </c>
      <c r="C120" s="20" t="s">
        <v>379</v>
      </c>
      <c r="D120" s="92" t="s">
        <v>380</v>
      </c>
      <c r="E120" s="93" t="s">
        <v>115</v>
      </c>
      <c r="F120" s="94"/>
      <c r="G120" s="24">
        <v>20</v>
      </c>
      <c r="H120" s="25"/>
      <c r="I120" s="25"/>
      <c r="J120" s="24"/>
      <c r="K120" s="25"/>
      <c r="L120" s="25"/>
      <c r="M120" s="25"/>
      <c r="N120" s="25"/>
      <c r="O120" s="25"/>
      <c r="P120" s="25"/>
      <c r="Q120" s="25"/>
      <c r="R120" s="25"/>
      <c r="S120" s="25">
        <v>20</v>
      </c>
      <c r="T120" s="25"/>
      <c r="U120" s="25"/>
      <c r="V120" s="56">
        <f t="shared" si="1"/>
        <v>0</v>
      </c>
      <c r="W120" s="295" t="s">
        <v>300</v>
      </c>
      <c r="X120" s="9">
        <v>7</v>
      </c>
    </row>
    <row r="121" spans="1:24" x14ac:dyDescent="0.55000000000000004">
      <c r="A121" s="8"/>
      <c r="B121" s="20">
        <v>43116</v>
      </c>
      <c r="C121" s="20" t="s">
        <v>381</v>
      </c>
      <c r="D121" s="92" t="s">
        <v>123</v>
      </c>
      <c r="E121" s="93" t="s">
        <v>112</v>
      </c>
      <c r="F121" s="94"/>
      <c r="G121" s="24">
        <v>28.2</v>
      </c>
      <c r="H121" s="25"/>
      <c r="I121" s="25"/>
      <c r="J121" s="24"/>
      <c r="K121" s="25">
        <v>4.7</v>
      </c>
      <c r="L121" s="25"/>
      <c r="M121" s="25"/>
      <c r="N121" s="25"/>
      <c r="O121" s="25"/>
      <c r="P121" s="25"/>
      <c r="Q121" s="25"/>
      <c r="R121" s="25"/>
      <c r="S121" s="25">
        <v>23.5</v>
      </c>
      <c r="T121" s="25"/>
      <c r="U121" s="25"/>
      <c r="V121" s="56">
        <f t="shared" si="1"/>
        <v>0</v>
      </c>
      <c r="W121" s="296" t="s">
        <v>300</v>
      </c>
      <c r="X121" s="9">
        <v>4</v>
      </c>
    </row>
    <row r="122" spans="1:24" x14ac:dyDescent="0.55000000000000004">
      <c r="A122" s="8"/>
      <c r="B122" s="20">
        <v>43109</v>
      </c>
      <c r="C122" s="20" t="s">
        <v>382</v>
      </c>
      <c r="D122" s="92" t="s">
        <v>50</v>
      </c>
      <c r="E122" s="93"/>
      <c r="F122" s="94">
        <v>0.09</v>
      </c>
      <c r="G122" s="24"/>
      <c r="H122" s="25"/>
      <c r="I122" s="25">
        <v>0.09</v>
      </c>
      <c r="J122" s="24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56">
        <f t="shared" si="1"/>
        <v>0</v>
      </c>
      <c r="W122" s="297" t="s">
        <v>5</v>
      </c>
      <c r="X122" s="9">
        <v>3</v>
      </c>
    </row>
    <row r="123" spans="1:24" x14ac:dyDescent="0.55000000000000004">
      <c r="A123" s="8"/>
      <c r="B123" s="20">
        <v>43149</v>
      </c>
      <c r="C123" s="20" t="s">
        <v>383</v>
      </c>
      <c r="D123" s="92" t="s">
        <v>169</v>
      </c>
      <c r="E123" s="93" t="s">
        <v>115</v>
      </c>
      <c r="F123" s="94"/>
      <c r="G123" s="24">
        <v>199.27</v>
      </c>
      <c r="H123" s="25"/>
      <c r="I123" s="25"/>
      <c r="J123" s="24"/>
      <c r="K123" s="25"/>
      <c r="L123" s="25">
        <v>199.27</v>
      </c>
      <c r="M123" s="25"/>
      <c r="N123" s="25"/>
      <c r="O123" s="25"/>
      <c r="P123" s="25"/>
      <c r="Q123" s="25"/>
      <c r="R123" s="25"/>
      <c r="S123" s="25"/>
      <c r="T123" s="25"/>
      <c r="U123" s="25"/>
      <c r="V123" s="56">
        <f t="shared" si="1"/>
        <v>0</v>
      </c>
      <c r="W123" s="297" t="s">
        <v>300</v>
      </c>
      <c r="X123" s="9">
        <v>1</v>
      </c>
    </row>
    <row r="124" spans="1:24" x14ac:dyDescent="0.55000000000000004">
      <c r="A124" s="8"/>
      <c r="B124" s="20">
        <v>43149</v>
      </c>
      <c r="C124" s="20" t="s">
        <v>384</v>
      </c>
      <c r="D124" s="92" t="s">
        <v>170</v>
      </c>
      <c r="E124" s="93" t="s">
        <v>115</v>
      </c>
      <c r="F124" s="94"/>
      <c r="G124" s="24">
        <v>8.6</v>
      </c>
      <c r="H124" s="25"/>
      <c r="I124" s="25"/>
      <c r="J124" s="24"/>
      <c r="K124" s="25"/>
      <c r="L124" s="25">
        <v>8.6</v>
      </c>
      <c r="M124" s="25"/>
      <c r="N124" s="25"/>
      <c r="O124" s="25"/>
      <c r="P124" s="25"/>
      <c r="Q124" s="25"/>
      <c r="R124" s="25"/>
      <c r="S124" s="25"/>
      <c r="T124" s="25"/>
      <c r="U124" s="25"/>
      <c r="V124" s="56">
        <f t="shared" si="1"/>
        <v>0</v>
      </c>
      <c r="W124" s="297" t="s">
        <v>300</v>
      </c>
      <c r="X124" s="9">
        <v>1</v>
      </c>
    </row>
    <row r="125" spans="1:24" x14ac:dyDescent="0.55000000000000004">
      <c r="A125" s="8"/>
      <c r="B125" s="20">
        <v>43149</v>
      </c>
      <c r="C125" s="20" t="s">
        <v>385</v>
      </c>
      <c r="D125" s="92" t="s">
        <v>386</v>
      </c>
      <c r="E125" s="93" t="s">
        <v>115</v>
      </c>
      <c r="F125" s="94"/>
      <c r="G125" s="24">
        <v>252</v>
      </c>
      <c r="H125" s="25"/>
      <c r="I125" s="25"/>
      <c r="J125" s="24"/>
      <c r="K125" s="25">
        <v>42</v>
      </c>
      <c r="L125" s="25"/>
      <c r="M125" s="25"/>
      <c r="N125" s="25">
        <v>210</v>
      </c>
      <c r="O125" s="25"/>
      <c r="P125" s="25"/>
      <c r="Q125" s="25"/>
      <c r="R125" s="25"/>
      <c r="S125" s="25"/>
      <c r="T125" s="25"/>
      <c r="U125" s="25"/>
      <c r="V125" s="56">
        <f t="shared" si="1"/>
        <v>0</v>
      </c>
      <c r="W125" s="297" t="s">
        <v>299</v>
      </c>
      <c r="X125" s="9">
        <v>1</v>
      </c>
    </row>
    <row r="126" spans="1:24" x14ac:dyDescent="0.55000000000000004">
      <c r="A126" s="8"/>
      <c r="B126" s="20">
        <v>43132</v>
      </c>
      <c r="C126" s="20" t="s">
        <v>387</v>
      </c>
      <c r="D126" s="92" t="s">
        <v>388</v>
      </c>
      <c r="E126" s="93" t="s">
        <v>115</v>
      </c>
      <c r="F126" s="94"/>
      <c r="G126" s="24">
        <v>231</v>
      </c>
      <c r="H126" s="25"/>
      <c r="I126" s="25"/>
      <c r="J126" s="24"/>
      <c r="K126" s="25"/>
      <c r="L126" s="25"/>
      <c r="M126" s="25"/>
      <c r="N126" s="25"/>
      <c r="O126" s="25">
        <v>231</v>
      </c>
      <c r="P126" s="25"/>
      <c r="Q126" s="25"/>
      <c r="R126" s="25"/>
      <c r="S126" s="25"/>
      <c r="T126" s="25"/>
      <c r="U126" s="25"/>
      <c r="V126" s="56">
        <f t="shared" si="1"/>
        <v>0</v>
      </c>
      <c r="W126" s="297" t="s">
        <v>12</v>
      </c>
      <c r="X126" s="9">
        <v>10</v>
      </c>
    </row>
    <row r="127" spans="1:24" x14ac:dyDescent="0.55000000000000004">
      <c r="A127" s="8"/>
      <c r="B127" s="20">
        <v>43140</v>
      </c>
      <c r="C127" s="20" t="s">
        <v>389</v>
      </c>
      <c r="D127" s="92" t="s">
        <v>390</v>
      </c>
      <c r="E127" s="93" t="s">
        <v>391</v>
      </c>
      <c r="F127" s="94">
        <v>78.11</v>
      </c>
      <c r="G127" s="24"/>
      <c r="H127" s="25"/>
      <c r="I127" s="25"/>
      <c r="J127" s="24">
        <v>78.11</v>
      </c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56">
        <f t="shared" si="1"/>
        <v>0</v>
      </c>
      <c r="W127" s="297" t="s">
        <v>5</v>
      </c>
      <c r="X127" s="9">
        <v>5</v>
      </c>
    </row>
    <row r="128" spans="1:24" x14ac:dyDescent="0.55000000000000004">
      <c r="A128" s="8"/>
      <c r="B128" s="20">
        <v>43147</v>
      </c>
      <c r="C128" s="20" t="s">
        <v>392</v>
      </c>
      <c r="D128" s="92" t="s">
        <v>123</v>
      </c>
      <c r="E128" s="93" t="s">
        <v>112</v>
      </c>
      <c r="F128" s="94"/>
      <c r="G128" s="24">
        <v>28.2</v>
      </c>
      <c r="H128" s="25"/>
      <c r="I128" s="25"/>
      <c r="J128" s="24"/>
      <c r="K128" s="25">
        <v>4.7</v>
      </c>
      <c r="L128" s="25"/>
      <c r="M128" s="25"/>
      <c r="N128" s="25"/>
      <c r="O128" s="25"/>
      <c r="P128" s="25"/>
      <c r="Q128" s="25"/>
      <c r="R128" s="25"/>
      <c r="S128" s="25">
        <v>23.5</v>
      </c>
      <c r="T128" s="25"/>
      <c r="U128" s="25"/>
      <c r="V128" s="56">
        <f t="shared" si="1"/>
        <v>0</v>
      </c>
      <c r="W128" s="297" t="s">
        <v>300</v>
      </c>
      <c r="X128" s="9">
        <v>4</v>
      </c>
    </row>
    <row r="129" spans="1:24" x14ac:dyDescent="0.55000000000000004">
      <c r="A129" s="8"/>
      <c r="B129" s="20">
        <v>43160</v>
      </c>
      <c r="C129" s="20" t="s">
        <v>393</v>
      </c>
      <c r="D129" s="92" t="s">
        <v>394</v>
      </c>
      <c r="E129" s="93" t="s">
        <v>112</v>
      </c>
      <c r="F129" s="94"/>
      <c r="G129" s="24">
        <v>35</v>
      </c>
      <c r="H129" s="25"/>
      <c r="I129" s="25"/>
      <c r="J129" s="24"/>
      <c r="K129" s="25"/>
      <c r="L129" s="25"/>
      <c r="M129" s="25"/>
      <c r="N129" s="25"/>
      <c r="O129" s="25"/>
      <c r="P129" s="25"/>
      <c r="Q129" s="25"/>
      <c r="R129" s="25"/>
      <c r="S129" s="25">
        <v>35</v>
      </c>
      <c r="T129" s="25"/>
      <c r="U129" s="25"/>
      <c r="V129" s="56">
        <f>SUM(K129:U129)-G129</f>
        <v>0</v>
      </c>
      <c r="W129" s="297" t="s">
        <v>10</v>
      </c>
      <c r="X129" s="9">
        <v>6</v>
      </c>
    </row>
    <row r="130" spans="1:24" x14ac:dyDescent="0.55000000000000004">
      <c r="A130" s="8"/>
      <c r="B130" s="20">
        <v>43140</v>
      </c>
      <c r="C130" s="20" t="s">
        <v>395</v>
      </c>
      <c r="D130" s="92" t="s">
        <v>50</v>
      </c>
      <c r="E130" s="93"/>
      <c r="F130" s="94">
        <v>0.03</v>
      </c>
      <c r="G130" s="24"/>
      <c r="H130" s="25"/>
      <c r="I130" s="25">
        <v>0.03</v>
      </c>
      <c r="J130" s="24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56">
        <f t="shared" ref="V130:V154" si="2">SUM(K130:U130)-G130</f>
        <v>0</v>
      </c>
      <c r="W130" s="297" t="s">
        <v>5</v>
      </c>
      <c r="X130" s="9">
        <v>3</v>
      </c>
    </row>
    <row r="131" spans="1:24" x14ac:dyDescent="0.55000000000000004">
      <c r="A131" s="8"/>
      <c r="B131" s="20"/>
      <c r="C131" s="20"/>
      <c r="D131" s="92"/>
      <c r="E131" s="93"/>
      <c r="F131" s="94"/>
      <c r="G131" s="24"/>
      <c r="H131" s="25"/>
      <c r="I131" s="25"/>
      <c r="J131" s="24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56">
        <f t="shared" si="2"/>
        <v>0</v>
      </c>
      <c r="W131" s="146"/>
    </row>
    <row r="132" spans="1:24" x14ac:dyDescent="0.55000000000000004">
      <c r="A132" s="8"/>
      <c r="B132" s="20"/>
      <c r="C132" s="20"/>
      <c r="D132" s="92"/>
      <c r="E132" s="93"/>
      <c r="F132" s="94"/>
      <c r="G132" s="24"/>
      <c r="H132" s="25"/>
      <c r="I132" s="25"/>
      <c r="J132" s="24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56">
        <f t="shared" si="2"/>
        <v>0</v>
      </c>
      <c r="W132" s="146"/>
    </row>
    <row r="133" spans="1:24" x14ac:dyDescent="0.55000000000000004">
      <c r="A133" s="8"/>
      <c r="B133" s="20"/>
      <c r="C133" s="20"/>
      <c r="D133" s="92"/>
      <c r="E133" s="93"/>
      <c r="F133" s="94"/>
      <c r="G133" s="24"/>
      <c r="H133" s="25"/>
      <c r="I133" s="25"/>
      <c r="J133" s="24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56">
        <f t="shared" si="2"/>
        <v>0</v>
      </c>
      <c r="W133" s="146"/>
    </row>
    <row r="134" spans="1:24" x14ac:dyDescent="0.55000000000000004">
      <c r="A134" s="8"/>
      <c r="B134" s="20"/>
      <c r="C134" s="20"/>
      <c r="D134" s="92"/>
      <c r="E134" s="93"/>
      <c r="F134" s="94"/>
      <c r="G134" s="24"/>
      <c r="H134" s="25"/>
      <c r="I134" s="25"/>
      <c r="J134" s="24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56">
        <f t="shared" si="2"/>
        <v>0</v>
      </c>
      <c r="W134" s="146"/>
    </row>
    <row r="135" spans="1:24" x14ac:dyDescent="0.55000000000000004">
      <c r="A135" s="8"/>
      <c r="B135" s="20"/>
      <c r="C135" s="20"/>
      <c r="D135" s="92"/>
      <c r="E135" s="93"/>
      <c r="F135" s="94"/>
      <c r="G135" s="24"/>
      <c r="H135" s="25"/>
      <c r="I135" s="25"/>
      <c r="J135" s="24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56">
        <f t="shared" si="2"/>
        <v>0</v>
      </c>
      <c r="W135" s="146"/>
    </row>
    <row r="136" spans="1:24" x14ac:dyDescent="0.55000000000000004">
      <c r="A136" s="8"/>
      <c r="B136" s="20"/>
      <c r="C136" s="20"/>
      <c r="D136" s="92"/>
      <c r="E136" s="93"/>
      <c r="F136" s="94"/>
      <c r="G136" s="24"/>
      <c r="H136" s="25"/>
      <c r="I136" s="25"/>
      <c r="J136" s="24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56">
        <f t="shared" si="2"/>
        <v>0</v>
      </c>
      <c r="W136" s="146"/>
    </row>
    <row r="137" spans="1:24" x14ac:dyDescent="0.55000000000000004">
      <c r="A137" s="8"/>
      <c r="B137" s="20"/>
      <c r="C137" s="20"/>
      <c r="D137" s="92"/>
      <c r="E137" s="93"/>
      <c r="F137" s="94"/>
      <c r="G137" s="24"/>
      <c r="H137" s="25"/>
      <c r="I137" s="25"/>
      <c r="J137" s="24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56">
        <f t="shared" si="2"/>
        <v>0</v>
      </c>
      <c r="W137" s="146"/>
    </row>
    <row r="138" spans="1:24" x14ac:dyDescent="0.55000000000000004">
      <c r="A138" s="8"/>
      <c r="B138" s="20"/>
      <c r="C138" s="20"/>
      <c r="D138" s="92"/>
      <c r="E138" s="93"/>
      <c r="F138" s="94"/>
      <c r="G138" s="24"/>
      <c r="H138" s="25"/>
      <c r="I138" s="25"/>
      <c r="J138" s="24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56">
        <f t="shared" si="2"/>
        <v>0</v>
      </c>
      <c r="W138" s="146"/>
    </row>
    <row r="139" spans="1:24" x14ac:dyDescent="0.55000000000000004">
      <c r="A139" s="8"/>
      <c r="B139" s="20"/>
      <c r="C139" s="20"/>
      <c r="D139" s="92"/>
      <c r="E139" s="93"/>
      <c r="F139" s="94"/>
      <c r="G139" s="24"/>
      <c r="H139" s="25"/>
      <c r="I139" s="25"/>
      <c r="J139" s="24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56">
        <f t="shared" si="2"/>
        <v>0</v>
      </c>
      <c r="W139" s="146"/>
    </row>
    <row r="140" spans="1:24" x14ac:dyDescent="0.55000000000000004">
      <c r="A140" s="8"/>
      <c r="B140" s="20"/>
      <c r="C140" s="20"/>
      <c r="D140" s="92"/>
      <c r="E140" s="93"/>
      <c r="F140" s="94"/>
      <c r="G140" s="24"/>
      <c r="H140" s="25"/>
      <c r="I140" s="25"/>
      <c r="J140" s="24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56">
        <f t="shared" si="2"/>
        <v>0</v>
      </c>
      <c r="W140" s="146"/>
    </row>
    <row r="141" spans="1:24" x14ac:dyDescent="0.55000000000000004">
      <c r="A141" s="8"/>
      <c r="B141" s="20"/>
      <c r="C141" s="20"/>
      <c r="D141" s="92"/>
      <c r="E141" s="93"/>
      <c r="F141" s="94"/>
      <c r="G141" s="24"/>
      <c r="H141" s="25"/>
      <c r="I141" s="25"/>
      <c r="J141" s="24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56">
        <f t="shared" si="2"/>
        <v>0</v>
      </c>
      <c r="W141" s="146"/>
    </row>
    <row r="142" spans="1:24" x14ac:dyDescent="0.55000000000000004">
      <c r="A142" s="8"/>
      <c r="B142" s="20"/>
      <c r="C142" s="20"/>
      <c r="D142" s="92"/>
      <c r="E142" s="93"/>
      <c r="F142" s="94"/>
      <c r="G142" s="24"/>
      <c r="H142" s="25"/>
      <c r="I142" s="25"/>
      <c r="J142" s="24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56">
        <f t="shared" si="2"/>
        <v>0</v>
      </c>
      <c r="W142" s="146"/>
    </row>
    <row r="143" spans="1:24" x14ac:dyDescent="0.55000000000000004">
      <c r="A143" s="8"/>
      <c r="B143" s="20"/>
      <c r="C143" s="20"/>
      <c r="D143" s="92"/>
      <c r="E143" s="93"/>
      <c r="F143" s="94"/>
      <c r="G143" s="24"/>
      <c r="H143" s="25"/>
      <c r="I143" s="25"/>
      <c r="J143" s="24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56">
        <f t="shared" si="2"/>
        <v>0</v>
      </c>
      <c r="W143" s="146"/>
    </row>
    <row r="144" spans="1:24" x14ac:dyDescent="0.55000000000000004">
      <c r="A144" s="8"/>
      <c r="B144" s="20"/>
      <c r="C144" s="20"/>
      <c r="D144" s="92"/>
      <c r="E144" s="93"/>
      <c r="F144" s="94"/>
      <c r="G144" s="24"/>
      <c r="H144" s="25"/>
      <c r="I144" s="25"/>
      <c r="J144" s="24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56">
        <f t="shared" si="2"/>
        <v>0</v>
      </c>
      <c r="W144" s="146"/>
    </row>
    <row r="145" spans="1:23" x14ac:dyDescent="0.55000000000000004">
      <c r="A145" s="8"/>
      <c r="B145" s="20"/>
      <c r="C145" s="20"/>
      <c r="D145" s="92"/>
      <c r="E145" s="93"/>
      <c r="F145" s="94"/>
      <c r="G145" s="24"/>
      <c r="H145" s="25"/>
      <c r="I145" s="25"/>
      <c r="J145" s="24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56">
        <f t="shared" si="2"/>
        <v>0</v>
      </c>
      <c r="W145" s="146"/>
    </row>
    <row r="146" spans="1:23" x14ac:dyDescent="0.55000000000000004">
      <c r="A146" s="8"/>
      <c r="B146" s="20"/>
      <c r="C146" s="20"/>
      <c r="D146" s="92"/>
      <c r="E146" s="93"/>
      <c r="F146" s="94"/>
      <c r="G146" s="24"/>
      <c r="H146" s="25"/>
      <c r="I146" s="25"/>
      <c r="J146" s="24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56">
        <f t="shared" si="2"/>
        <v>0</v>
      </c>
      <c r="W146" s="146"/>
    </row>
    <row r="147" spans="1:23" x14ac:dyDescent="0.55000000000000004">
      <c r="A147" s="8"/>
      <c r="B147" s="20"/>
      <c r="C147" s="20"/>
      <c r="D147" s="92"/>
      <c r="E147" s="93"/>
      <c r="F147" s="94"/>
      <c r="G147" s="24"/>
      <c r="H147" s="25"/>
      <c r="I147" s="25"/>
      <c r="J147" s="24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56">
        <f t="shared" si="2"/>
        <v>0</v>
      </c>
      <c r="W147" s="146"/>
    </row>
    <row r="148" spans="1:23" x14ac:dyDescent="0.55000000000000004">
      <c r="A148" s="8"/>
      <c r="B148" s="20"/>
      <c r="C148" s="20"/>
      <c r="D148" s="92"/>
      <c r="E148" s="93"/>
      <c r="F148" s="94"/>
      <c r="G148" s="24"/>
      <c r="H148" s="25"/>
      <c r="I148" s="25"/>
      <c r="J148" s="24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56">
        <f t="shared" si="2"/>
        <v>0</v>
      </c>
      <c r="W148" s="146"/>
    </row>
    <row r="149" spans="1:23" x14ac:dyDescent="0.55000000000000004">
      <c r="A149" s="8"/>
      <c r="B149" s="20"/>
      <c r="C149" s="20"/>
      <c r="D149" s="92"/>
      <c r="E149" s="93"/>
      <c r="F149" s="94"/>
      <c r="G149" s="24"/>
      <c r="H149" s="25"/>
      <c r="I149" s="25"/>
      <c r="J149" s="24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56">
        <f t="shared" si="2"/>
        <v>0</v>
      </c>
      <c r="W149" s="146"/>
    </row>
    <row r="150" spans="1:23" x14ac:dyDescent="0.55000000000000004">
      <c r="A150" s="8"/>
      <c r="B150" s="20"/>
      <c r="C150" s="20"/>
      <c r="D150" s="92"/>
      <c r="E150" s="93"/>
      <c r="F150" s="94"/>
      <c r="G150" s="24"/>
      <c r="H150" s="25"/>
      <c r="I150" s="25"/>
      <c r="J150" s="24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56">
        <f t="shared" si="2"/>
        <v>0</v>
      </c>
      <c r="W150" s="146"/>
    </row>
    <row r="151" spans="1:23" x14ac:dyDescent="0.55000000000000004">
      <c r="A151" s="8"/>
      <c r="B151" s="20"/>
      <c r="C151" s="20"/>
      <c r="D151" s="92"/>
      <c r="E151" s="93"/>
      <c r="F151" s="94"/>
      <c r="G151" s="24"/>
      <c r="H151" s="25"/>
      <c r="I151" s="25"/>
      <c r="J151" s="24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56">
        <f t="shared" si="2"/>
        <v>0</v>
      </c>
      <c r="W151" s="146"/>
    </row>
    <row r="152" spans="1:23" x14ac:dyDescent="0.55000000000000004">
      <c r="A152" s="8"/>
      <c r="B152" s="20"/>
      <c r="C152" s="20"/>
      <c r="D152" s="92"/>
      <c r="E152" s="93"/>
      <c r="F152" s="94"/>
      <c r="G152" s="24"/>
      <c r="H152" s="25"/>
      <c r="I152" s="25"/>
      <c r="J152" s="24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56">
        <f t="shared" si="2"/>
        <v>0</v>
      </c>
      <c r="W152" s="146"/>
    </row>
    <row r="153" spans="1:23" x14ac:dyDescent="0.55000000000000004">
      <c r="A153" s="8"/>
      <c r="B153" s="20"/>
      <c r="C153" s="20"/>
      <c r="D153" s="92"/>
      <c r="E153" s="93"/>
      <c r="F153" s="94"/>
      <c r="G153" s="24"/>
      <c r="H153" s="141"/>
      <c r="I153" s="30"/>
      <c r="J153" s="24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56">
        <f t="shared" si="2"/>
        <v>0</v>
      </c>
      <c r="W153" s="146"/>
    </row>
    <row r="154" spans="1:23" x14ac:dyDescent="0.55000000000000004">
      <c r="A154" s="8"/>
      <c r="B154" s="32"/>
      <c r="C154" s="32"/>
      <c r="D154" s="89" t="s">
        <v>56</v>
      </c>
      <c r="E154" s="90"/>
      <c r="F154" s="91">
        <f>SUM(F7:F153)</f>
        <v>39353.829999999994</v>
      </c>
      <c r="G154" s="77">
        <f>SUM(G7:G153)</f>
        <v>54192.319999999985</v>
      </c>
      <c r="H154" s="77">
        <f>19194.72</f>
        <v>19194.72</v>
      </c>
      <c r="I154" s="77">
        <f t="shared" ref="I154:U154" si="3">SUM(I7:I153)</f>
        <v>17.330000000000002</v>
      </c>
      <c r="J154" s="77">
        <f t="shared" si="3"/>
        <v>29158.53</v>
      </c>
      <c r="K154" s="77">
        <f t="shared" si="3"/>
        <v>4243.3599999999988</v>
      </c>
      <c r="L154" s="77">
        <f t="shared" si="3"/>
        <v>6523.0300000000016</v>
      </c>
      <c r="M154" s="77">
        <f t="shared" si="3"/>
        <v>271.78999999999996</v>
      </c>
      <c r="N154" s="77">
        <f t="shared" si="3"/>
        <v>29920.350000000002</v>
      </c>
      <c r="O154" s="77">
        <f t="shared" si="3"/>
        <v>5805.1799999999994</v>
      </c>
      <c r="P154" s="77">
        <f t="shared" si="3"/>
        <v>0</v>
      </c>
      <c r="Q154" s="77">
        <f t="shared" si="3"/>
        <v>4530</v>
      </c>
      <c r="R154" s="77">
        <f t="shared" si="3"/>
        <v>153</v>
      </c>
      <c r="S154" s="77">
        <f t="shared" si="3"/>
        <v>1123.8200000000002</v>
      </c>
      <c r="T154" s="77">
        <f t="shared" si="3"/>
        <v>1621.79</v>
      </c>
      <c r="U154" s="77">
        <f t="shared" si="3"/>
        <v>0</v>
      </c>
      <c r="V154" s="56">
        <f t="shared" si="2"/>
        <v>0</v>
      </c>
    </row>
    <row r="155" spans="1:23" x14ac:dyDescent="0.55000000000000004">
      <c r="A155" s="8"/>
      <c r="B155" s="13"/>
      <c r="C155" s="13"/>
      <c r="D155" s="14"/>
      <c r="E155" s="15" t="s">
        <v>45</v>
      </c>
      <c r="F155" s="16"/>
      <c r="G155" s="79"/>
      <c r="H155" s="332" t="s">
        <v>5</v>
      </c>
      <c r="I155" s="332"/>
      <c r="J155" s="333"/>
      <c r="K155" s="17"/>
      <c r="L155" s="332" t="s">
        <v>4</v>
      </c>
      <c r="M155" s="332"/>
      <c r="N155" s="332"/>
      <c r="O155" s="332"/>
      <c r="P155" s="332"/>
      <c r="Q155" s="332"/>
      <c r="R155" s="332"/>
      <c r="S155" s="332"/>
      <c r="T155" s="332"/>
      <c r="U155" s="332"/>
      <c r="V155" s="27"/>
    </row>
    <row r="156" spans="1:23" ht="153" x14ac:dyDescent="0.55000000000000004">
      <c r="A156" s="8"/>
      <c r="B156" s="64" t="s">
        <v>46</v>
      </c>
      <c r="C156" s="64"/>
      <c r="D156" s="64" t="s">
        <v>47</v>
      </c>
      <c r="E156" s="65" t="s">
        <v>48</v>
      </c>
      <c r="F156" s="66" t="s">
        <v>49</v>
      </c>
      <c r="G156" s="65" t="s">
        <v>45</v>
      </c>
      <c r="H156" s="61" t="s">
        <v>8</v>
      </c>
      <c r="I156" s="62" t="s">
        <v>50</v>
      </c>
      <c r="J156" s="67" t="s">
        <v>51</v>
      </c>
      <c r="K156" s="61" t="s">
        <v>52</v>
      </c>
      <c r="L156" s="61" t="s">
        <v>53</v>
      </c>
      <c r="M156" s="62" t="s">
        <v>54</v>
      </c>
      <c r="N156" s="63" t="s">
        <v>102</v>
      </c>
      <c r="O156" s="63" t="s">
        <v>12</v>
      </c>
      <c r="P156" s="63" t="s">
        <v>13</v>
      </c>
      <c r="Q156" s="63" t="s">
        <v>14</v>
      </c>
      <c r="R156" s="63" t="s">
        <v>104</v>
      </c>
      <c r="S156" s="63" t="s">
        <v>24</v>
      </c>
      <c r="T156" s="63" t="s">
        <v>103</v>
      </c>
      <c r="U156" s="63" t="s">
        <v>28</v>
      </c>
      <c r="V156" s="27"/>
    </row>
    <row r="157" spans="1:23" x14ac:dyDescent="0.55000000000000004">
      <c r="B157" s="33"/>
      <c r="C157" s="33"/>
      <c r="D157" s="34"/>
      <c r="E157" s="35"/>
      <c r="F157" s="36"/>
      <c r="G157" s="36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27"/>
    </row>
    <row r="158" spans="1:23" x14ac:dyDescent="0.55000000000000004">
      <c r="B158" s="33"/>
      <c r="C158" s="33"/>
      <c r="D158" s="38" t="s">
        <v>0</v>
      </c>
      <c r="E158" s="39"/>
      <c r="F158" s="40"/>
      <c r="G158" s="84"/>
      <c r="H158" s="325" t="s">
        <v>108</v>
      </c>
      <c r="I158" s="325"/>
      <c r="J158" s="30" t="s">
        <v>57</v>
      </c>
      <c r="L158" s="30"/>
      <c r="M158" s="30">
        <v>616.41</v>
      </c>
      <c r="O158" s="30"/>
      <c r="P158" s="30"/>
      <c r="Q158" s="30"/>
      <c r="R158" s="30"/>
      <c r="S158" s="30"/>
      <c r="T158" s="30"/>
      <c r="U158" s="30"/>
      <c r="V158" s="27"/>
    </row>
    <row r="159" spans="1:23" x14ac:dyDescent="0.55000000000000004">
      <c r="B159" s="33"/>
      <c r="C159" s="33"/>
      <c r="D159" s="41" t="s">
        <v>55</v>
      </c>
      <c r="E159" s="42"/>
      <c r="F159" s="43">
        <f>SUM(F6)</f>
        <v>24028.29</v>
      </c>
      <c r="G159" s="84"/>
      <c r="H159" s="30"/>
      <c r="I159" s="30"/>
      <c r="J159" s="30" t="s">
        <v>59</v>
      </c>
      <c r="L159" s="30"/>
      <c r="M159" s="30">
        <v>8573.39</v>
      </c>
      <c r="O159" s="30"/>
      <c r="P159" s="30"/>
      <c r="Q159" s="30"/>
      <c r="R159" s="30"/>
      <c r="S159" s="30"/>
      <c r="T159" s="30"/>
      <c r="U159" s="30"/>
      <c r="V159" s="27"/>
    </row>
    <row r="160" spans="1:23" x14ac:dyDescent="0.55000000000000004">
      <c r="B160" s="33"/>
      <c r="C160" s="33"/>
      <c r="D160" s="41"/>
      <c r="E160" s="42"/>
      <c r="F160" s="43"/>
      <c r="G160" s="84"/>
      <c r="H160" s="30"/>
      <c r="I160" s="30"/>
      <c r="J160" s="85" t="s">
        <v>60</v>
      </c>
      <c r="K160" s="86"/>
      <c r="L160" s="85"/>
      <c r="M160" s="88"/>
      <c r="O160" s="30"/>
      <c r="P160" s="44"/>
      <c r="Q160" s="30"/>
      <c r="R160" s="30"/>
      <c r="S160" s="30"/>
      <c r="T160" s="30"/>
      <c r="U160" s="30"/>
      <c r="V160" s="27"/>
    </row>
    <row r="161" spans="2:22" x14ac:dyDescent="0.55000000000000004">
      <c r="B161" s="33"/>
      <c r="C161" s="33"/>
      <c r="D161" s="41" t="s">
        <v>61</v>
      </c>
      <c r="E161" s="42"/>
      <c r="F161" s="43">
        <f>SUM(F154)</f>
        <v>39353.829999999994</v>
      </c>
      <c r="G161" s="84"/>
      <c r="H161" s="30"/>
      <c r="I161" s="30"/>
      <c r="M161" s="45">
        <f>SUM(M158:M160)</f>
        <v>9189.7999999999993</v>
      </c>
      <c r="O161" s="75"/>
      <c r="P161" s="30"/>
      <c r="Q161" s="30"/>
      <c r="R161" s="30"/>
      <c r="S161" s="30"/>
      <c r="T161" s="30"/>
      <c r="U161" s="30"/>
      <c r="V161" s="18"/>
    </row>
    <row r="162" spans="2:22" x14ac:dyDescent="0.55000000000000004">
      <c r="B162" s="33"/>
      <c r="C162" s="33"/>
      <c r="D162" s="41" t="s">
        <v>62</v>
      </c>
      <c r="E162" s="42"/>
      <c r="F162" s="43">
        <f>SUM(G154)</f>
        <v>54192.319999999985</v>
      </c>
      <c r="G162" s="84"/>
      <c r="H162" s="30"/>
      <c r="I162" s="30"/>
      <c r="J162" s="37" t="s">
        <v>110</v>
      </c>
      <c r="K162" s="37"/>
      <c r="L162" s="83"/>
      <c r="M162" s="30">
        <v>0</v>
      </c>
      <c r="O162" s="75"/>
      <c r="P162" s="30"/>
      <c r="Q162" s="30"/>
      <c r="R162" s="30"/>
      <c r="S162" s="30"/>
      <c r="T162" s="30"/>
      <c r="U162" s="30"/>
      <c r="V162" s="18"/>
    </row>
    <row r="163" spans="2:22" x14ac:dyDescent="0.55000000000000004">
      <c r="B163" s="46"/>
      <c r="C163" s="46"/>
      <c r="D163" s="41"/>
      <c r="E163" s="42"/>
      <c r="F163" s="47"/>
      <c r="G163" s="84"/>
      <c r="H163" s="30"/>
      <c r="I163" s="30"/>
      <c r="M163" s="81">
        <f>SUM(M161-M162)</f>
        <v>9189.7999999999993</v>
      </c>
      <c r="O163" s="30"/>
      <c r="P163" s="30"/>
      <c r="Q163" s="30"/>
      <c r="R163" s="30"/>
      <c r="S163" s="30"/>
      <c r="T163" s="30"/>
      <c r="U163" s="30"/>
      <c r="V163" s="18"/>
    </row>
    <row r="164" spans="2:22" x14ac:dyDescent="0.55000000000000004">
      <c r="B164" s="49"/>
      <c r="C164" s="49"/>
      <c r="D164" s="50" t="s">
        <v>58</v>
      </c>
      <c r="E164" s="51"/>
      <c r="F164" s="52">
        <f>SUM(F159+F161-F162+F163)</f>
        <v>9189.8000000000102</v>
      </c>
      <c r="G164" s="84"/>
      <c r="H164" s="18"/>
      <c r="I164" s="31"/>
      <c r="J164" s="30" t="s">
        <v>109</v>
      </c>
      <c r="K164" s="37"/>
      <c r="M164" s="73"/>
      <c r="O164" s="76"/>
      <c r="P164" s="44"/>
      <c r="Q164" s="78"/>
      <c r="R164" s="18"/>
      <c r="S164" s="18"/>
      <c r="T164" s="18"/>
      <c r="U164" s="18"/>
      <c r="V164" s="18"/>
    </row>
    <row r="165" spans="2:22" ht="14.7" thickBot="1" x14ac:dyDescent="0.6">
      <c r="B165" s="49"/>
      <c r="C165" s="49"/>
      <c r="H165" s="53"/>
      <c r="I165" s="53"/>
      <c r="J165" s="48" t="s">
        <v>64</v>
      </c>
      <c r="K165" s="48"/>
      <c r="M165" s="80">
        <f>SUM(M163+M164)</f>
        <v>9189.7999999999993</v>
      </c>
      <c r="O165" s="53"/>
      <c r="P165" s="44"/>
      <c r="Q165" s="53"/>
      <c r="R165" s="53"/>
      <c r="S165" s="53"/>
      <c r="T165" s="53"/>
      <c r="U165" s="53"/>
      <c r="V165" s="18"/>
    </row>
    <row r="166" spans="2:22" x14ac:dyDescent="0.55000000000000004">
      <c r="B166" s="49"/>
      <c r="C166" s="49"/>
      <c r="H166" s="53"/>
      <c r="I166" s="53"/>
      <c r="N166" s="53"/>
      <c r="O166" s="54"/>
      <c r="P166" s="31"/>
      <c r="Q166" s="53"/>
      <c r="R166" s="53"/>
      <c r="S166" s="53"/>
      <c r="T166" s="53"/>
      <c r="U166" s="53"/>
      <c r="V166" s="18"/>
    </row>
    <row r="167" spans="2:22" x14ac:dyDescent="0.55000000000000004">
      <c r="B167" s="49"/>
      <c r="C167" s="49"/>
      <c r="H167" s="53"/>
      <c r="I167" s="54"/>
      <c r="J167" s="53" t="s">
        <v>161</v>
      </c>
      <c r="K167" s="53"/>
      <c r="L167" s="53"/>
      <c r="M167" s="44">
        <f>SUM(M165)-F164</f>
        <v>0</v>
      </c>
      <c r="O167" s="53"/>
      <c r="P167" s="44"/>
      <c r="Q167" s="53"/>
      <c r="R167" s="53"/>
      <c r="S167" s="53"/>
      <c r="T167" s="53"/>
      <c r="U167" s="53"/>
      <c r="V167" s="18"/>
    </row>
    <row r="168" spans="2:22" x14ac:dyDescent="0.55000000000000004">
      <c r="B168" s="49"/>
      <c r="C168" s="49"/>
      <c r="E168" s="30"/>
      <c r="H168" s="53"/>
      <c r="I168" s="53"/>
      <c r="J168" s="54"/>
      <c r="K168" s="30"/>
      <c r="L168" s="54"/>
      <c r="M168" s="55"/>
      <c r="N168" s="53"/>
      <c r="O168" s="53"/>
      <c r="P168" s="44"/>
      <c r="Q168" s="53"/>
      <c r="R168" s="53"/>
      <c r="S168" s="53"/>
      <c r="T168" s="53"/>
      <c r="U168" s="53"/>
      <c r="V168" s="18"/>
    </row>
    <row r="169" spans="2:22" x14ac:dyDescent="0.55000000000000004">
      <c r="B169" s="49"/>
      <c r="C169" s="49"/>
      <c r="E169" s="30"/>
      <c r="H169" s="53"/>
      <c r="I169" s="53"/>
      <c r="J169" s="53"/>
      <c r="K169" s="53"/>
      <c r="L169" s="53"/>
      <c r="M169" s="53"/>
      <c r="N169" s="53"/>
      <c r="O169" s="53"/>
      <c r="Q169" s="53"/>
      <c r="R169" s="53"/>
      <c r="S169" s="53"/>
      <c r="T169" s="53"/>
      <c r="U169" s="53"/>
      <c r="V169" s="18"/>
    </row>
    <row r="170" spans="2:22" x14ac:dyDescent="0.55000000000000004">
      <c r="B170" s="49"/>
      <c r="C170" s="49"/>
      <c r="E170" s="28"/>
      <c r="H170" s="53"/>
      <c r="I170" s="53"/>
      <c r="J170" s="44"/>
      <c r="K170" s="53"/>
      <c r="L170" s="53"/>
      <c r="M170" s="54"/>
      <c r="N170" s="53"/>
      <c r="O170" s="53"/>
      <c r="P170" s="53"/>
      <c r="Q170" s="53"/>
      <c r="R170" s="53"/>
      <c r="S170" s="53"/>
      <c r="T170" s="53"/>
      <c r="U170" s="53"/>
      <c r="V170" s="18"/>
    </row>
    <row r="171" spans="2:22" x14ac:dyDescent="0.55000000000000004">
      <c r="B171" s="49"/>
      <c r="C171" s="49"/>
      <c r="F171" s="29"/>
      <c r="H171" s="53"/>
      <c r="I171" s="87"/>
      <c r="J171" s="53"/>
      <c r="K171" s="53"/>
      <c r="L171" s="53"/>
      <c r="M171" s="54"/>
      <c r="N171" s="53"/>
      <c r="O171" s="53"/>
      <c r="P171" s="53"/>
      <c r="Q171" s="53"/>
      <c r="R171" s="53"/>
      <c r="S171" s="53"/>
      <c r="T171" s="53"/>
      <c r="U171" s="53"/>
      <c r="V171" s="53"/>
    </row>
    <row r="172" spans="2:22" x14ac:dyDescent="0.55000000000000004">
      <c r="F172" s="29"/>
      <c r="K172" s="75"/>
      <c r="M172" s="29"/>
      <c r="V172" s="53"/>
    </row>
    <row r="173" spans="2:22" x14ac:dyDescent="0.55000000000000004">
      <c r="F173" s="29"/>
      <c r="H173" s="75"/>
      <c r="M173" s="29"/>
      <c r="V173" s="53"/>
    </row>
    <row r="174" spans="2:22" x14ac:dyDescent="0.55000000000000004">
      <c r="F174" s="29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</row>
    <row r="175" spans="2:22" x14ac:dyDescent="0.55000000000000004">
      <c r="H175" s="53"/>
      <c r="I175" s="53"/>
      <c r="J175" s="53"/>
      <c r="K175" s="53"/>
      <c r="L175" s="53"/>
      <c r="M175" s="54"/>
      <c r="N175" s="53"/>
      <c r="O175" s="53"/>
      <c r="P175" s="53"/>
      <c r="Q175" s="53"/>
      <c r="R175" s="53"/>
      <c r="S175" s="53"/>
      <c r="T175" s="53"/>
      <c r="U175" s="53"/>
      <c r="V175" s="53"/>
    </row>
    <row r="176" spans="2:22" x14ac:dyDescent="0.55000000000000004">
      <c r="F176" s="29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</row>
    <row r="177" spans="8:22" x14ac:dyDescent="0.55000000000000004">
      <c r="H177" s="53"/>
      <c r="I177" s="53"/>
      <c r="J177" s="53"/>
      <c r="K177" s="53"/>
      <c r="L177" s="53"/>
      <c r="M177" s="54"/>
      <c r="N177" s="53"/>
      <c r="O177" s="53"/>
      <c r="P177" s="53"/>
      <c r="Q177" s="53"/>
      <c r="R177" s="53"/>
      <c r="S177" s="53"/>
      <c r="T177" s="53"/>
      <c r="U177" s="53"/>
      <c r="V177" s="53"/>
    </row>
    <row r="178" spans="8:22" x14ac:dyDescent="0.55000000000000004"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</row>
    <row r="179" spans="8:22" x14ac:dyDescent="0.55000000000000004"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</row>
    <row r="180" spans="8:22" x14ac:dyDescent="0.55000000000000004"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</row>
    <row r="181" spans="8:22" x14ac:dyDescent="0.55000000000000004"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</row>
    <row r="182" spans="8:22" x14ac:dyDescent="0.55000000000000004"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</row>
    <row r="183" spans="8:22" x14ac:dyDescent="0.55000000000000004"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</row>
    <row r="184" spans="8:22" x14ac:dyDescent="0.55000000000000004"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</row>
    <row r="185" spans="8:22" x14ac:dyDescent="0.55000000000000004"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</row>
    <row r="186" spans="8:22" x14ac:dyDescent="0.55000000000000004"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</row>
    <row r="187" spans="8:22" x14ac:dyDescent="0.55000000000000004"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</row>
    <row r="188" spans="8:22" x14ac:dyDescent="0.55000000000000004"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</row>
    <row r="189" spans="8:22" x14ac:dyDescent="0.55000000000000004"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</row>
    <row r="190" spans="8:22" x14ac:dyDescent="0.55000000000000004"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</row>
    <row r="191" spans="8:22" x14ac:dyDescent="0.55000000000000004"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</row>
    <row r="192" spans="8:22" x14ac:dyDescent="0.55000000000000004"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</row>
    <row r="193" spans="8:22" x14ac:dyDescent="0.55000000000000004"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</row>
    <row r="194" spans="8:22" x14ac:dyDescent="0.55000000000000004"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</row>
    <row r="195" spans="8:22" x14ac:dyDescent="0.55000000000000004"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</row>
    <row r="196" spans="8:22" x14ac:dyDescent="0.55000000000000004"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</row>
    <row r="197" spans="8:22" x14ac:dyDescent="0.55000000000000004"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</row>
    <row r="198" spans="8:22" x14ac:dyDescent="0.55000000000000004"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</row>
    <row r="199" spans="8:22" x14ac:dyDescent="0.55000000000000004"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</row>
    <row r="200" spans="8:22" x14ac:dyDescent="0.55000000000000004"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</row>
    <row r="201" spans="8:22" x14ac:dyDescent="0.55000000000000004"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</row>
    <row r="202" spans="8:22" x14ac:dyDescent="0.55000000000000004"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</row>
    <row r="203" spans="8:22" x14ac:dyDescent="0.55000000000000004"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</row>
    <row r="204" spans="8:22" x14ac:dyDescent="0.55000000000000004"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</row>
    <row r="205" spans="8:22" x14ac:dyDescent="0.55000000000000004"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</row>
    <row r="206" spans="8:22" x14ac:dyDescent="0.55000000000000004"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8:22" x14ac:dyDescent="0.55000000000000004"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</row>
    <row r="208" spans="8:22" x14ac:dyDescent="0.55000000000000004"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</row>
    <row r="209" spans="8:22" x14ac:dyDescent="0.55000000000000004"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</row>
    <row r="210" spans="8:22" x14ac:dyDescent="0.55000000000000004"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</row>
    <row r="211" spans="8:22" x14ac:dyDescent="0.55000000000000004"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</row>
    <row r="212" spans="8:22" x14ac:dyDescent="0.55000000000000004"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</row>
    <row r="213" spans="8:22" x14ac:dyDescent="0.55000000000000004"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</row>
    <row r="214" spans="8:22" x14ac:dyDescent="0.55000000000000004"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</row>
    <row r="215" spans="8:22" x14ac:dyDescent="0.55000000000000004"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</row>
    <row r="216" spans="8:22" x14ac:dyDescent="0.55000000000000004"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</row>
    <row r="217" spans="8:22" x14ac:dyDescent="0.55000000000000004"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</row>
    <row r="218" spans="8:22" x14ac:dyDescent="0.55000000000000004"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</row>
    <row r="219" spans="8:22" x14ac:dyDescent="0.55000000000000004"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</row>
    <row r="220" spans="8:22" x14ac:dyDescent="0.55000000000000004"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</row>
    <row r="221" spans="8:22" x14ac:dyDescent="0.55000000000000004"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</row>
    <row r="222" spans="8:22" x14ac:dyDescent="0.55000000000000004"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</row>
    <row r="223" spans="8:22" x14ac:dyDescent="0.55000000000000004"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</row>
    <row r="224" spans="8:22" x14ac:dyDescent="0.55000000000000004"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</row>
    <row r="225" spans="8:22" x14ac:dyDescent="0.55000000000000004"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</row>
    <row r="226" spans="8:22" x14ac:dyDescent="0.55000000000000004"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</row>
    <row r="227" spans="8:22" x14ac:dyDescent="0.55000000000000004"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</row>
    <row r="228" spans="8:22" x14ac:dyDescent="0.55000000000000004"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</row>
    <row r="229" spans="8:22" x14ac:dyDescent="0.55000000000000004"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8:22" x14ac:dyDescent="0.55000000000000004"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8:22" x14ac:dyDescent="0.55000000000000004">
      <c r="V231" s="53"/>
    </row>
    <row r="232" spans="8:22" x14ac:dyDescent="0.55000000000000004">
      <c r="V232" s="53"/>
    </row>
    <row r="233" spans="8:22" x14ac:dyDescent="0.55000000000000004">
      <c r="V233" s="53"/>
    </row>
    <row r="234" spans="8:22" x14ac:dyDescent="0.55000000000000004">
      <c r="V234" s="53"/>
    </row>
    <row r="235" spans="8:22" x14ac:dyDescent="0.55000000000000004">
      <c r="V235" s="53"/>
    </row>
    <row r="236" spans="8:22" x14ac:dyDescent="0.55000000000000004">
      <c r="V236" s="53"/>
    </row>
  </sheetData>
  <autoFilter ref="B5:X156"/>
  <mergeCells count="8">
    <mergeCell ref="H158:I158"/>
    <mergeCell ref="B1:U1"/>
    <mergeCell ref="B2:U2"/>
    <mergeCell ref="H4:J4"/>
    <mergeCell ref="L4:U4"/>
    <mergeCell ref="H155:J155"/>
    <mergeCell ref="L155:U155"/>
    <mergeCell ref="B4:G4"/>
  </mergeCells>
  <phoneticPr fontId="16" type="noConversion"/>
  <conditionalFormatting sqref="V6:V154">
    <cfRule type="cellIs" dxfId="7" priority="28" operator="notEqual">
      <formula>0</formula>
    </cfRule>
  </conditionalFormatting>
  <conditionalFormatting sqref="M167">
    <cfRule type="cellIs" dxfId="6" priority="8" stopIfTrue="1" operator="notEqual">
      <formula>0</formula>
    </cfRule>
  </conditionalFormatting>
  <conditionalFormatting sqref="W6:X153">
    <cfRule type="expression" dxfId="5" priority="1">
      <formula>$W6="Memberships"</formula>
    </cfRule>
    <cfRule type="expression" dxfId="4" priority="2">
      <formula>$W6="Audit and legal"</formula>
    </cfRule>
    <cfRule type="expression" dxfId="3" priority="4">
      <formula>$W6="Running costs"</formula>
    </cfRule>
    <cfRule type="expression" dxfId="2" priority="5">
      <formula>$W6="Maintenance"</formula>
    </cfRule>
    <cfRule type="expression" dxfId="1" priority="6">
      <formula>$W6="Projects"</formula>
    </cfRule>
    <cfRule type="expression" dxfId="0" priority="7">
      <formula>$W6="Community fund"</formula>
    </cfRule>
  </conditionalFormatting>
  <dataValidations count="2">
    <dataValidation type="list" allowBlank="1" showInputMessage="1" showErrorMessage="1" sqref="W6:W153">
      <formula1>Budget_Lines</formula1>
    </dataValidation>
    <dataValidation type="list" allowBlank="1" showInputMessage="1" showErrorMessage="1" sqref="X6:X153">
      <formula1>Sub_categories</formula1>
    </dataValidation>
  </dataValidations>
  <printOptions gridLines="1"/>
  <pageMargins left="0.04" right="0.04" top="0.16" bottom="0.16" header="0.12000000000000001" footer="0.12000000000000001"/>
  <pageSetup paperSize="9" scale="72" fitToHeight="4" orientation="landscape" r:id="rId1"/>
  <ignoredErrors>
    <ignoredError sqref="F164 M163:M165 V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topLeftCell="B1" zoomScaleNormal="100" workbookViewId="0">
      <pane xSplit="6" ySplit="3" topLeftCell="H47" activePane="bottomRight" state="frozen"/>
      <selection activeCell="B1" sqref="B1"/>
      <selection pane="topRight" activeCell="G1" sqref="G1"/>
      <selection pane="bottomLeft" activeCell="B4" sqref="B4"/>
      <selection pane="bottomRight" activeCell="J60" sqref="J60"/>
    </sheetView>
  </sheetViews>
  <sheetFormatPr defaultColWidth="11.44140625" defaultRowHeight="12.9" x14ac:dyDescent="0.5"/>
  <cols>
    <col min="1" max="1" width="22.83203125" style="164" customWidth="1"/>
    <col min="2" max="2" width="4.71875" style="151" customWidth="1"/>
    <col min="3" max="3" width="24.44140625" style="156" customWidth="1"/>
    <col min="4" max="4" width="11" style="156" customWidth="1"/>
    <col min="5" max="10" width="11" style="164" customWidth="1"/>
    <col min="11" max="11" width="39.5546875" style="164" customWidth="1"/>
    <col min="12" max="16384" width="11.44140625" style="164"/>
  </cols>
  <sheetData>
    <row r="1" spans="1:11" x14ac:dyDescent="0.5">
      <c r="A1" s="163" t="s">
        <v>101</v>
      </c>
      <c r="B1" s="149"/>
      <c r="D1" s="152"/>
      <c r="E1" s="153"/>
    </row>
    <row r="2" spans="1:11" x14ac:dyDescent="0.5">
      <c r="D2" s="164"/>
      <c r="E2" s="165"/>
      <c r="G2" s="154"/>
      <c r="H2" s="154"/>
      <c r="I2" s="154"/>
      <c r="J2" s="154"/>
      <c r="K2" s="155"/>
    </row>
    <row r="3" spans="1:11" ht="55.2" x14ac:dyDescent="0.5">
      <c r="B3" s="150" t="s">
        <v>303</v>
      </c>
      <c r="D3" s="157" t="s">
        <v>132</v>
      </c>
      <c r="E3" s="157" t="s">
        <v>133</v>
      </c>
      <c r="F3" s="158" t="s">
        <v>134</v>
      </c>
      <c r="G3" s="158" t="s">
        <v>159</v>
      </c>
      <c r="H3" s="158" t="s">
        <v>163</v>
      </c>
      <c r="I3" s="159" t="s">
        <v>291</v>
      </c>
      <c r="J3" s="158" t="s">
        <v>292</v>
      </c>
      <c r="K3" s="160" t="s">
        <v>85</v>
      </c>
    </row>
    <row r="4" spans="1:11" ht="38.700000000000003" x14ac:dyDescent="0.5">
      <c r="A4" s="166"/>
      <c r="B4" s="223">
        <v>1</v>
      </c>
      <c r="C4" s="272" t="s">
        <v>293</v>
      </c>
      <c r="D4" s="167">
        <v>10000</v>
      </c>
      <c r="E4" s="168">
        <v>10000</v>
      </c>
      <c r="F4" s="161">
        <v>10000</v>
      </c>
      <c r="G4" s="169">
        <v>8200</v>
      </c>
      <c r="H4" s="169">
        <v>2000</v>
      </c>
      <c r="I4" s="255">
        <f>SUMIFS(Cashbook!$G$7:$G$153,Cashbook!$W$7:$W$153,"Community fund",Cashbook!$X$7:$X$153,1)</f>
        <v>1965.79</v>
      </c>
      <c r="J4" s="169">
        <v>2000</v>
      </c>
      <c r="K4" s="170" t="s">
        <v>328</v>
      </c>
    </row>
    <row r="5" spans="1:11" x14ac:dyDescent="0.5">
      <c r="A5" s="166"/>
      <c r="B5" s="223">
        <v>2</v>
      </c>
      <c r="C5" s="212" t="s">
        <v>100</v>
      </c>
      <c r="D5" s="167"/>
      <c r="E5" s="168">
        <v>3000</v>
      </c>
      <c r="F5" s="161">
        <v>3000</v>
      </c>
      <c r="G5" s="169">
        <v>1000</v>
      </c>
      <c r="H5" s="169">
        <v>500</v>
      </c>
      <c r="I5" s="255">
        <f>SUMIFS(Cashbook!$G$7:$G$153,Cashbook!$W$7:$W$153,"Community fund",Cashbook!$X$7:$X$153,2)</f>
        <v>0</v>
      </c>
      <c r="J5" s="169"/>
      <c r="K5" s="171" t="s">
        <v>338</v>
      </c>
    </row>
    <row r="6" spans="1:11" ht="25.8" x14ac:dyDescent="0.5">
      <c r="A6" s="166"/>
      <c r="B6" s="223">
        <v>3</v>
      </c>
      <c r="C6" s="212" t="s">
        <v>167</v>
      </c>
      <c r="D6" s="167"/>
      <c r="E6" s="168"/>
      <c r="F6" s="161"/>
      <c r="G6" s="169"/>
      <c r="H6" s="169">
        <v>11305</v>
      </c>
      <c r="I6" s="255">
        <f>SUMIFS(Cashbook!$G$7:$G$153,Cashbook!$W$7:$W$153,"Projects",Cashbook!$X$7:$X$153,10)</f>
        <v>4047.66</v>
      </c>
      <c r="J6" s="186"/>
      <c r="K6" s="171" t="s">
        <v>331</v>
      </c>
    </row>
    <row r="7" spans="1:11" x14ac:dyDescent="0.5">
      <c r="A7" s="166"/>
      <c r="B7" s="223">
        <v>4</v>
      </c>
      <c r="C7" s="265" t="s">
        <v>335</v>
      </c>
      <c r="D7" s="270"/>
      <c r="E7" s="271"/>
      <c r="F7" s="192"/>
      <c r="G7" s="193"/>
      <c r="H7" s="193"/>
      <c r="I7" s="259"/>
      <c r="J7" s="276">
        <v>1000</v>
      </c>
      <c r="K7" s="171"/>
    </row>
    <row r="8" spans="1:11" x14ac:dyDescent="0.5">
      <c r="A8" s="166"/>
      <c r="B8" s="223">
        <v>5</v>
      </c>
      <c r="C8" s="265" t="s">
        <v>337</v>
      </c>
      <c r="D8" s="270"/>
      <c r="E8" s="271"/>
      <c r="F8" s="192"/>
      <c r="G8" s="193"/>
      <c r="H8" s="193"/>
      <c r="I8" s="259"/>
      <c r="J8" s="276"/>
      <c r="K8" s="171" t="s">
        <v>340</v>
      </c>
    </row>
    <row r="9" spans="1:11" ht="26.1" thickBot="1" x14ac:dyDescent="0.55000000000000004">
      <c r="A9" s="166"/>
      <c r="B9" s="223">
        <v>6</v>
      </c>
      <c r="C9" s="213" t="s">
        <v>294</v>
      </c>
      <c r="D9" s="173"/>
      <c r="E9" s="174"/>
      <c r="F9" s="175"/>
      <c r="G9" s="176"/>
      <c r="H9" s="176">
        <v>11305</v>
      </c>
      <c r="I9" s="256">
        <f>SUMIFS(Cashbook!$G$7:$G$153,Cashbook!$W$7:$W$153,"Projects",Cashbook!$X$7:$X$153,11)</f>
        <v>18161.080000000002</v>
      </c>
      <c r="J9" s="176">
        <v>500</v>
      </c>
      <c r="K9" s="171"/>
    </row>
    <row r="10" spans="1:11" x14ac:dyDescent="0.5">
      <c r="A10" s="166"/>
      <c r="B10" s="223"/>
      <c r="C10" s="214" t="s">
        <v>99</v>
      </c>
      <c r="D10" s="177">
        <f t="shared" ref="D10:G10" si="0">SUM(D4:D9)</f>
        <v>10000</v>
      </c>
      <c r="E10" s="177">
        <f t="shared" si="0"/>
        <v>13000</v>
      </c>
      <c r="F10" s="177">
        <f t="shared" si="0"/>
        <v>13000</v>
      </c>
      <c r="G10" s="177">
        <f t="shared" si="0"/>
        <v>9200</v>
      </c>
      <c r="H10" s="177">
        <f>SUM(H4:H9)</f>
        <v>25110</v>
      </c>
      <c r="I10" s="257">
        <f t="shared" ref="I10:J10" si="1">SUM(I4:I9)</f>
        <v>24174.530000000002</v>
      </c>
      <c r="J10" s="177">
        <f t="shared" si="1"/>
        <v>3500</v>
      </c>
      <c r="K10" s="178"/>
    </row>
    <row r="11" spans="1:11" x14ac:dyDescent="0.5">
      <c r="A11" s="166"/>
      <c r="B11" s="227"/>
      <c r="C11" s="215"/>
      <c r="D11" s="167"/>
      <c r="E11" s="168"/>
      <c r="F11" s="161"/>
      <c r="G11" s="169"/>
      <c r="H11" s="169"/>
      <c r="I11" s="255"/>
      <c r="J11" s="169"/>
      <c r="K11" s="171"/>
    </row>
    <row r="12" spans="1:11" x14ac:dyDescent="0.5">
      <c r="A12" s="179" t="s">
        <v>12</v>
      </c>
      <c r="B12" s="227">
        <v>1</v>
      </c>
      <c r="C12" s="216" t="s">
        <v>135</v>
      </c>
      <c r="D12" s="167"/>
      <c r="E12" s="168">
        <v>5000</v>
      </c>
      <c r="F12" s="161">
        <v>5000</v>
      </c>
      <c r="G12" s="169">
        <v>2000</v>
      </c>
      <c r="H12" s="169">
        <v>500</v>
      </c>
      <c r="I12" s="255">
        <f>SUMIFS(Cashbook!$G$7:$G$153,Cashbook!$W$7:$W$153,"Projects",Cashbook!$X$7:$X$153,1)</f>
        <v>0</v>
      </c>
      <c r="J12" s="169">
        <v>0</v>
      </c>
      <c r="K12" s="171" t="s">
        <v>164</v>
      </c>
    </row>
    <row r="13" spans="1:11" x14ac:dyDescent="0.5">
      <c r="A13" s="166"/>
      <c r="B13" s="227">
        <v>2</v>
      </c>
      <c r="C13" s="212" t="s">
        <v>136</v>
      </c>
      <c r="D13" s="167"/>
      <c r="E13" s="168"/>
      <c r="F13" s="161">
        <v>50</v>
      </c>
      <c r="G13" s="169">
        <v>200</v>
      </c>
      <c r="H13" s="169">
        <v>1000</v>
      </c>
      <c r="I13" s="255">
        <f>SUMIFS(Cashbook!$G$7:$G$153,Cashbook!$W$7:$W$153,"Projects",Cashbook!$X$7:$X$153,2)</f>
        <v>433.21000000000004</v>
      </c>
      <c r="J13" s="169">
        <v>1000</v>
      </c>
      <c r="K13" s="171" t="s">
        <v>405</v>
      </c>
    </row>
    <row r="14" spans="1:11" ht="25.8" x14ac:dyDescent="0.5">
      <c r="A14" s="166"/>
      <c r="B14" s="227">
        <v>3</v>
      </c>
      <c r="C14" s="212" t="s">
        <v>137</v>
      </c>
      <c r="D14" s="167"/>
      <c r="E14" s="168"/>
      <c r="F14" s="161">
        <v>150</v>
      </c>
      <c r="G14" s="169">
        <v>150</v>
      </c>
      <c r="H14" s="169">
        <v>200</v>
      </c>
      <c r="I14" s="255">
        <f>SUMIFS(Cashbook!$G$7:$G$153,Cashbook!$W$7:$W$153,"Projects",Cashbook!$X$7:$X$153,3)</f>
        <v>0</v>
      </c>
      <c r="J14" s="169">
        <v>0</v>
      </c>
      <c r="K14" s="171" t="s">
        <v>330</v>
      </c>
    </row>
    <row r="15" spans="1:11" x14ac:dyDescent="0.5">
      <c r="A15" s="166"/>
      <c r="B15" s="227">
        <v>4</v>
      </c>
      <c r="C15" s="212" t="s">
        <v>138</v>
      </c>
      <c r="D15" s="180"/>
      <c r="E15" s="168">
        <v>600</v>
      </c>
      <c r="F15" s="161">
        <v>560</v>
      </c>
      <c r="G15" s="169">
        <v>1560</v>
      </c>
      <c r="H15" s="169">
        <v>1060</v>
      </c>
      <c r="I15" s="255">
        <f>SUMIFS(Cashbook!$G$7:$G$153,Cashbook!$W$7:$W$153,"Projects",Cashbook!$X$7:$X$153,4)</f>
        <v>128.97999999999999</v>
      </c>
      <c r="J15" s="169">
        <v>1060</v>
      </c>
      <c r="K15" s="170"/>
    </row>
    <row r="16" spans="1:11" x14ac:dyDescent="0.5">
      <c r="A16" s="166"/>
      <c r="B16" s="227">
        <v>5</v>
      </c>
      <c r="C16" s="212" t="s">
        <v>139</v>
      </c>
      <c r="D16" s="181"/>
      <c r="E16" s="182"/>
      <c r="F16" s="161">
        <v>1626</v>
      </c>
      <c r="G16" s="169">
        <v>3000</v>
      </c>
      <c r="H16" s="169">
        <v>3000</v>
      </c>
      <c r="I16" s="255">
        <f>SUMIFS(Cashbook!$G$7:$G$153,Cashbook!$W$7:$W$153,"Projects",Cashbook!$X$7:$X$153,5)</f>
        <v>3479.77</v>
      </c>
      <c r="J16" s="169">
        <v>4000</v>
      </c>
      <c r="K16" s="171"/>
    </row>
    <row r="17" spans="1:11" x14ac:dyDescent="0.5">
      <c r="A17" s="166"/>
      <c r="B17" s="227">
        <v>6</v>
      </c>
      <c r="C17" s="212" t="s">
        <v>149</v>
      </c>
      <c r="D17" s="180"/>
      <c r="E17" s="168"/>
      <c r="F17" s="161">
        <v>1000</v>
      </c>
      <c r="G17" s="169">
        <v>1000</v>
      </c>
      <c r="H17" s="169">
        <v>2300</v>
      </c>
      <c r="I17" s="255">
        <f>SUMIFS(Cashbook!$G$7:$G$153,Cashbook!$W$7:$W$153,"Projects",Cashbook!$X$7:$X$153,6)</f>
        <v>1080</v>
      </c>
      <c r="J17" s="169">
        <v>100</v>
      </c>
      <c r="K17" s="170"/>
    </row>
    <row r="18" spans="1:11" x14ac:dyDescent="0.5">
      <c r="A18" s="166"/>
      <c r="B18" s="227">
        <v>7</v>
      </c>
      <c r="C18" s="212" t="s">
        <v>150</v>
      </c>
      <c r="D18" s="180"/>
      <c r="E18" s="168"/>
      <c r="F18" s="161">
        <v>250</v>
      </c>
      <c r="G18" s="169">
        <v>250</v>
      </c>
      <c r="H18" s="169">
        <v>0</v>
      </c>
      <c r="I18" s="255">
        <f>SUMIFS(Cashbook!$G$7:$G$153,Cashbook!$W$7:$W$153,"Projects",Cashbook!$X$7:$X$153,7)</f>
        <v>1</v>
      </c>
      <c r="J18" s="169">
        <v>0</v>
      </c>
      <c r="K18" s="170"/>
    </row>
    <row r="19" spans="1:11" x14ac:dyDescent="0.5">
      <c r="A19" s="166"/>
      <c r="B19" s="227">
        <v>8</v>
      </c>
      <c r="C19" s="212" t="s">
        <v>151</v>
      </c>
      <c r="D19" s="180"/>
      <c r="E19" s="168"/>
      <c r="F19" s="161">
        <v>250</v>
      </c>
      <c r="G19" s="169">
        <v>250</v>
      </c>
      <c r="H19" s="169">
        <v>250</v>
      </c>
      <c r="I19" s="255">
        <f>SUMIFS(Cashbook!$G$7:$G$153,Cashbook!$W$7:$W$153,"Projects",Cashbook!$X$7:$X$153,8)</f>
        <v>0</v>
      </c>
      <c r="J19" s="169">
        <v>250</v>
      </c>
      <c r="K19" s="170" t="s">
        <v>140</v>
      </c>
    </row>
    <row r="20" spans="1:11" x14ac:dyDescent="0.5">
      <c r="A20" s="166"/>
      <c r="B20" s="227">
        <v>9</v>
      </c>
      <c r="C20" s="212" t="s">
        <v>141</v>
      </c>
      <c r="D20" s="180"/>
      <c r="E20" s="168"/>
      <c r="F20" s="161">
        <v>500</v>
      </c>
      <c r="G20" s="169">
        <v>500</v>
      </c>
      <c r="H20" s="169">
        <v>500</v>
      </c>
      <c r="I20" s="255">
        <f>SUMIFS(Cashbook!$G$7:$G$153,Cashbook!$W$7:$W$153,"Projects",Cashbook!$X$7:$X$153,9)</f>
        <v>0</v>
      </c>
      <c r="J20" s="169"/>
      <c r="K20" s="170" t="s">
        <v>142</v>
      </c>
    </row>
    <row r="21" spans="1:11" x14ac:dyDescent="0.5">
      <c r="A21" s="166"/>
      <c r="B21" s="227">
        <v>10</v>
      </c>
      <c r="C21" s="212" t="s">
        <v>167</v>
      </c>
      <c r="D21" s="183"/>
      <c r="E21" s="184"/>
      <c r="F21" s="185"/>
      <c r="G21" s="186"/>
      <c r="H21" s="186"/>
      <c r="I21" s="255"/>
      <c r="J21" s="169">
        <v>5000</v>
      </c>
      <c r="K21" s="171"/>
    </row>
    <row r="22" spans="1:11" x14ac:dyDescent="0.5">
      <c r="A22" s="166"/>
      <c r="B22" s="227">
        <v>11</v>
      </c>
      <c r="C22" s="212" t="s">
        <v>295</v>
      </c>
      <c r="D22" s="183"/>
      <c r="E22" s="184"/>
      <c r="F22" s="185"/>
      <c r="G22" s="186"/>
      <c r="H22" s="186"/>
      <c r="I22" s="255"/>
      <c r="J22" s="169"/>
      <c r="K22" s="171"/>
    </row>
    <row r="23" spans="1:11" ht="13.2" thickBot="1" x14ac:dyDescent="0.55000000000000004">
      <c r="A23" s="166"/>
      <c r="B23" s="267">
        <v>12</v>
      </c>
      <c r="C23" s="213" t="s">
        <v>325</v>
      </c>
      <c r="D23" s="268"/>
      <c r="E23" s="174"/>
      <c r="F23" s="175"/>
      <c r="G23" s="176"/>
      <c r="H23" s="176"/>
      <c r="I23" s="256"/>
      <c r="J23" s="176"/>
      <c r="K23" s="171"/>
    </row>
    <row r="24" spans="1:11" x14ac:dyDescent="0.5">
      <c r="A24" s="166"/>
      <c r="B24" s="266"/>
      <c r="C24" s="228" t="s">
        <v>98</v>
      </c>
      <c r="D24" s="177">
        <f t="shared" ref="D24:G24" si="2">SUM(D11:D23)</f>
        <v>0</v>
      </c>
      <c r="E24" s="177">
        <f t="shared" si="2"/>
        <v>5600</v>
      </c>
      <c r="F24" s="177">
        <f t="shared" si="2"/>
        <v>9386</v>
      </c>
      <c r="G24" s="177">
        <f t="shared" si="2"/>
        <v>8910</v>
      </c>
      <c r="H24" s="177">
        <f>SUM(H11:H23)</f>
        <v>8810</v>
      </c>
      <c r="I24" s="258">
        <f>SUM(I12:I23)</f>
        <v>5122.96</v>
      </c>
      <c r="J24" s="258">
        <f>SUM(J12:J23)</f>
        <v>11410</v>
      </c>
      <c r="K24" s="178"/>
    </row>
    <row r="25" spans="1:11" x14ac:dyDescent="0.5">
      <c r="A25" s="166"/>
      <c r="B25" s="234"/>
      <c r="C25" s="215"/>
      <c r="D25" s="187"/>
      <c r="E25" s="168"/>
      <c r="F25" s="161"/>
      <c r="G25" s="169"/>
      <c r="H25" s="169"/>
      <c r="I25" s="255"/>
      <c r="J25" s="169"/>
      <c r="K25" s="171"/>
    </row>
    <row r="26" spans="1:11" x14ac:dyDescent="0.5">
      <c r="A26" s="179" t="s">
        <v>14</v>
      </c>
      <c r="B26" s="234">
        <v>1</v>
      </c>
      <c r="C26" s="212" t="s">
        <v>87</v>
      </c>
      <c r="D26" s="167">
        <v>4300</v>
      </c>
      <c r="E26" s="168">
        <v>6000</v>
      </c>
      <c r="F26" s="161">
        <v>6000</v>
      </c>
      <c r="G26" s="169">
        <v>4000</v>
      </c>
      <c r="H26" s="169">
        <v>5000</v>
      </c>
      <c r="I26" s="255">
        <f>SUMIFS(Cashbook!$G$7:$G$153,Cashbook!$W$7:$W$153,"Maintenance",Cashbook!$X$7:$X$153,1)</f>
        <v>4440</v>
      </c>
      <c r="J26" s="169">
        <v>4000</v>
      </c>
      <c r="K26" s="171" t="s">
        <v>199</v>
      </c>
    </row>
    <row r="27" spans="1:11" x14ac:dyDescent="0.5">
      <c r="A27" s="166"/>
      <c r="B27" s="234">
        <v>2</v>
      </c>
      <c r="C27" s="212" t="s">
        <v>15</v>
      </c>
      <c r="D27" s="167">
        <v>1000</v>
      </c>
      <c r="E27" s="168">
        <v>1000</v>
      </c>
      <c r="F27" s="161">
        <v>1000</v>
      </c>
      <c r="G27" s="169">
        <v>1000</v>
      </c>
      <c r="H27" s="169">
        <v>500</v>
      </c>
      <c r="I27" s="255">
        <f>SUMIFS(Cashbook!$G$7:$G$153,Cashbook!$W$7:$W$153,"Maintenance",Cashbook!$X$7:$X$153,2)</f>
        <v>90</v>
      </c>
      <c r="J27" s="169">
        <v>500</v>
      </c>
      <c r="K27" s="171" t="s">
        <v>152</v>
      </c>
    </row>
    <row r="28" spans="1:11" ht="13.2" thickBot="1" x14ac:dyDescent="0.55000000000000004">
      <c r="A28" s="166"/>
      <c r="B28" s="234">
        <v>3</v>
      </c>
      <c r="C28" s="172" t="s">
        <v>308</v>
      </c>
      <c r="D28" s="173"/>
      <c r="E28" s="174"/>
      <c r="F28" s="175"/>
      <c r="G28" s="176"/>
      <c r="H28" s="176"/>
      <c r="I28" s="256">
        <f>SUMIFS(Cashbook!$G$7:$G$153,Cashbook!$W$7:$W$153,"Maintenance",Cashbook!$X$7:$X$153,3)</f>
        <v>75.599999999999994</v>
      </c>
      <c r="J28" s="176">
        <v>100</v>
      </c>
      <c r="K28" s="171" t="s">
        <v>332</v>
      </c>
    </row>
    <row r="29" spans="1:11" x14ac:dyDescent="0.5">
      <c r="A29" s="166"/>
      <c r="B29" s="234"/>
      <c r="C29" s="235" t="s">
        <v>97</v>
      </c>
      <c r="D29" s="188">
        <f>SUM(D26:D27)</f>
        <v>5300</v>
      </c>
      <c r="E29" s="177">
        <f>SUM(E26:E27)</f>
        <v>7000</v>
      </c>
      <c r="F29" s="177">
        <f>SUM(F26:F27)</f>
        <v>7000</v>
      </c>
      <c r="G29" s="177">
        <f>SUM(G26:G27)</f>
        <v>5000</v>
      </c>
      <c r="H29" s="177">
        <f>SUM(H26:H27)</f>
        <v>5500</v>
      </c>
      <c r="I29" s="257">
        <f>SUM(I26:I28)</f>
        <v>4605.6000000000004</v>
      </c>
      <c r="J29" s="177">
        <f>SUM(J26:J28)</f>
        <v>4600</v>
      </c>
      <c r="K29" s="178"/>
    </row>
    <row r="30" spans="1:11" x14ac:dyDescent="0.5">
      <c r="A30" s="166"/>
      <c r="B30" s="229"/>
      <c r="C30" s="215"/>
      <c r="D30" s="187"/>
      <c r="E30" s="168"/>
      <c r="F30" s="161"/>
      <c r="G30" s="169"/>
      <c r="H30" s="169"/>
      <c r="I30" s="255"/>
      <c r="J30" s="169"/>
      <c r="K30" s="171"/>
    </row>
    <row r="31" spans="1:11" x14ac:dyDescent="0.5">
      <c r="A31" s="179" t="s">
        <v>16</v>
      </c>
      <c r="B31" s="230">
        <v>1</v>
      </c>
      <c r="C31" s="216" t="s">
        <v>11</v>
      </c>
      <c r="D31" s="167">
        <v>8000</v>
      </c>
      <c r="E31" s="168">
        <v>7000</v>
      </c>
      <c r="F31" s="161">
        <v>4000</v>
      </c>
      <c r="G31" s="169">
        <v>6500</v>
      </c>
      <c r="H31" s="169">
        <v>6500</v>
      </c>
      <c r="I31" s="255">
        <f>SUMIFS(Cashbook!$G$7:$G$153,Cashbook!$W$7:$W$153,"Running costs",Cashbook!$X$7:$X$153,1)</f>
        <v>3215.0499999999997</v>
      </c>
      <c r="J31" s="169">
        <v>4000</v>
      </c>
      <c r="K31" s="171"/>
    </row>
    <row r="32" spans="1:11" x14ac:dyDescent="0.5">
      <c r="A32" s="166"/>
      <c r="B32" s="229">
        <v>2</v>
      </c>
      <c r="C32" s="216" t="s">
        <v>17</v>
      </c>
      <c r="D32" s="167">
        <v>270</v>
      </c>
      <c r="E32" s="168">
        <v>400</v>
      </c>
      <c r="F32" s="161">
        <v>1000</v>
      </c>
      <c r="G32" s="169">
        <v>1000</v>
      </c>
      <c r="H32" s="169">
        <v>1000</v>
      </c>
      <c r="I32" s="255">
        <f>SUMIFS(Cashbook!$G$7:$G$153,Cashbook!$W$7:$W$153,"Running costs",Cashbook!$X$7:$X$153,2)</f>
        <v>0</v>
      </c>
      <c r="J32" s="169"/>
      <c r="K32" s="171" t="s">
        <v>339</v>
      </c>
    </row>
    <row r="33" spans="1:11" x14ac:dyDescent="0.5">
      <c r="A33" s="166"/>
      <c r="B33" s="229">
        <v>3</v>
      </c>
      <c r="C33" s="212" t="s">
        <v>153</v>
      </c>
      <c r="D33" s="167">
        <v>200</v>
      </c>
      <c r="E33" s="168">
        <v>200</v>
      </c>
      <c r="F33" s="161">
        <v>200</v>
      </c>
      <c r="G33" s="169"/>
      <c r="H33" s="169"/>
      <c r="I33" s="255">
        <f>SUMIFS(Cashbook!$G$7:$G$153,Cashbook!$W$7:$W$153,"Running costs",Cashbook!$X$7:$X$153,3)</f>
        <v>0</v>
      </c>
      <c r="J33" s="169"/>
      <c r="K33" s="171"/>
    </row>
    <row r="34" spans="1:11" x14ac:dyDescent="0.5">
      <c r="A34" s="166"/>
      <c r="B34" s="229">
        <v>4</v>
      </c>
      <c r="C34" s="212" t="s">
        <v>305</v>
      </c>
      <c r="D34" s="167">
        <v>320</v>
      </c>
      <c r="E34" s="168">
        <v>300</v>
      </c>
      <c r="F34" s="161">
        <v>300</v>
      </c>
      <c r="G34" s="169">
        <v>0</v>
      </c>
      <c r="H34" s="169"/>
      <c r="I34" s="255">
        <f>SUMIFS(Cashbook!$G$7:$G$153,Cashbook!$W$7:$W$153,"Running costs",Cashbook!$X$7:$X$153,4)</f>
        <v>281.99999999999994</v>
      </c>
      <c r="J34" s="169">
        <v>300</v>
      </c>
      <c r="K34" s="171" t="s">
        <v>309</v>
      </c>
    </row>
    <row r="35" spans="1:11" x14ac:dyDescent="0.5">
      <c r="A35" s="166"/>
      <c r="B35" s="229">
        <v>5</v>
      </c>
      <c r="C35" s="212" t="s">
        <v>154</v>
      </c>
      <c r="D35" s="167"/>
      <c r="E35" s="168"/>
      <c r="F35" s="161"/>
      <c r="G35" s="169">
        <v>50</v>
      </c>
      <c r="H35" s="169">
        <v>50</v>
      </c>
      <c r="I35" s="255">
        <f>SUMIFS(Cashbook!$G$7:$G$153,Cashbook!$W$7:$W$153,"Running costs",Cashbook!$X$7:$X$153,5)</f>
        <v>0</v>
      </c>
      <c r="J35" s="169">
        <v>150</v>
      </c>
      <c r="K35" s="171"/>
    </row>
    <row r="36" spans="1:11" ht="25.8" x14ac:dyDescent="0.5">
      <c r="A36" s="166"/>
      <c r="B36" s="229">
        <v>6</v>
      </c>
      <c r="C36" s="212" t="s">
        <v>155</v>
      </c>
      <c r="D36" s="167"/>
      <c r="E36" s="168"/>
      <c r="F36" s="161"/>
      <c r="G36" s="169">
        <v>100</v>
      </c>
      <c r="H36" s="169">
        <v>100</v>
      </c>
      <c r="I36" s="255">
        <f>SUMIFS(Cashbook!$G$7:$G$153,Cashbook!$W$7:$W$153,"Running costs",Cashbook!$X$7:$X$153,6)</f>
        <v>100</v>
      </c>
      <c r="J36" s="169">
        <v>100</v>
      </c>
      <c r="K36" s="171" t="s">
        <v>156</v>
      </c>
    </row>
    <row r="37" spans="1:11" x14ac:dyDescent="0.5">
      <c r="A37" s="166"/>
      <c r="B37" s="229">
        <v>7</v>
      </c>
      <c r="C37" s="212" t="s">
        <v>23</v>
      </c>
      <c r="D37" s="167">
        <v>320</v>
      </c>
      <c r="E37" s="168">
        <v>350</v>
      </c>
      <c r="F37" s="161">
        <v>500</v>
      </c>
      <c r="G37" s="169">
        <v>500</v>
      </c>
      <c r="H37" s="169">
        <v>500</v>
      </c>
      <c r="I37" s="255">
        <f>SUMIFS(Cashbook!$G$7:$G$153,Cashbook!$W$7:$W$153,"Running costs",Cashbook!$X$7:$X$153,7)</f>
        <v>20</v>
      </c>
      <c r="J37" s="169">
        <v>200</v>
      </c>
      <c r="K37" s="171"/>
    </row>
    <row r="38" spans="1:11" ht="25.8" x14ac:dyDescent="0.5">
      <c r="A38" s="166"/>
      <c r="B38" s="229">
        <v>8</v>
      </c>
      <c r="C38" s="212" t="s">
        <v>88</v>
      </c>
      <c r="D38" s="167">
        <v>25</v>
      </c>
      <c r="E38" s="168">
        <v>25</v>
      </c>
      <c r="F38" s="161">
        <v>25</v>
      </c>
      <c r="G38" s="169">
        <v>25</v>
      </c>
      <c r="H38" s="169">
        <v>25</v>
      </c>
      <c r="I38" s="255">
        <f>SUMIFS(Cashbook!$G$7:$G$153,Cashbook!$W$7:$W$153,"Running costs",Cashbook!$X$7:$X$153,8)</f>
        <v>0</v>
      </c>
      <c r="J38" s="169">
        <v>25</v>
      </c>
      <c r="K38" s="171" t="s">
        <v>157</v>
      </c>
    </row>
    <row r="39" spans="1:11" x14ac:dyDescent="0.5">
      <c r="A39" s="166"/>
      <c r="B39" s="229">
        <v>9</v>
      </c>
      <c r="C39" s="212" t="s">
        <v>25</v>
      </c>
      <c r="D39" s="167">
        <v>250</v>
      </c>
      <c r="E39" s="168">
        <v>250</v>
      </c>
      <c r="F39" s="161">
        <v>150</v>
      </c>
      <c r="G39" s="169">
        <v>150</v>
      </c>
      <c r="H39" s="169">
        <v>900.00149999999996</v>
      </c>
      <c r="I39" s="255">
        <f>SUMIFS(Cashbook!$G$7:$G$153,Cashbook!$W$7:$W$153,"Running costs",Cashbook!$X$7:$X$153,9)</f>
        <v>25</v>
      </c>
      <c r="J39" s="169">
        <v>300</v>
      </c>
      <c r="K39" s="171" t="s">
        <v>333</v>
      </c>
    </row>
    <row r="40" spans="1:11" ht="38.700000000000003" x14ac:dyDescent="0.5">
      <c r="A40" s="179" t="s">
        <v>103</v>
      </c>
      <c r="B40" s="229">
        <v>10</v>
      </c>
      <c r="C40" s="212" t="s">
        <v>2</v>
      </c>
      <c r="D40" s="167">
        <v>400</v>
      </c>
      <c r="E40" s="168">
        <v>400</v>
      </c>
      <c r="F40" s="161">
        <v>400</v>
      </c>
      <c r="G40" s="169">
        <v>450</v>
      </c>
      <c r="H40" s="169">
        <v>900</v>
      </c>
      <c r="I40" s="255">
        <f>SUMIFS(Cashbook!$G$7:$G$153,Cashbook!$W$7:$W$153,"Running costs",Cashbook!$X$7:$X$153,10)</f>
        <v>1286.79</v>
      </c>
      <c r="J40" s="169">
        <v>1300</v>
      </c>
      <c r="K40" s="171" t="s">
        <v>200</v>
      </c>
    </row>
    <row r="41" spans="1:11" ht="13.2" thickBot="1" x14ac:dyDescent="0.55000000000000004">
      <c r="A41" s="166"/>
      <c r="B41" s="229">
        <v>11</v>
      </c>
      <c r="C41" s="213" t="s">
        <v>26</v>
      </c>
      <c r="D41" s="173">
        <v>700</v>
      </c>
      <c r="E41" s="174">
        <v>700</v>
      </c>
      <c r="F41" s="175">
        <v>700</v>
      </c>
      <c r="G41" s="176">
        <v>1000</v>
      </c>
      <c r="H41" s="176">
        <v>1000</v>
      </c>
      <c r="I41" s="256">
        <f>SUMIFS(Cashbook!$G$7:$G$153,Cashbook!$W$7:$W$153,"Running costs",Cashbook!$X$7:$X$153,11)</f>
        <v>597.51</v>
      </c>
      <c r="J41" s="176">
        <v>700</v>
      </c>
      <c r="K41" s="171"/>
    </row>
    <row r="42" spans="1:11" x14ac:dyDescent="0.5">
      <c r="A42" s="166"/>
      <c r="B42" s="229"/>
      <c r="C42" s="231" t="s">
        <v>96</v>
      </c>
      <c r="D42" s="188">
        <f>SUM(D31:D41)</f>
        <v>10485</v>
      </c>
      <c r="E42" s="188">
        <f t="shared" ref="E42:J42" si="3">SUM(E31:E41)</f>
        <v>9625</v>
      </c>
      <c r="F42" s="188">
        <f t="shared" si="3"/>
        <v>7275</v>
      </c>
      <c r="G42" s="188">
        <f t="shared" si="3"/>
        <v>9775</v>
      </c>
      <c r="H42" s="188">
        <f t="shared" si="3"/>
        <v>10975.0015</v>
      </c>
      <c r="I42" s="257">
        <f t="shared" si="3"/>
        <v>5526.35</v>
      </c>
      <c r="J42" s="188">
        <f t="shared" si="3"/>
        <v>7075</v>
      </c>
      <c r="K42" s="178"/>
    </row>
    <row r="43" spans="1:11" x14ac:dyDescent="0.5">
      <c r="A43" s="166"/>
      <c r="B43" s="224"/>
      <c r="C43" s="217"/>
      <c r="D43" s="189"/>
      <c r="E43" s="182"/>
      <c r="F43" s="161"/>
      <c r="G43" s="169"/>
      <c r="H43" s="169"/>
      <c r="I43" s="255"/>
      <c r="J43" s="169"/>
      <c r="K43" s="171"/>
    </row>
    <row r="44" spans="1:11" x14ac:dyDescent="0.5">
      <c r="A44" s="179" t="s">
        <v>10</v>
      </c>
      <c r="B44" s="225">
        <v>1</v>
      </c>
      <c r="C44" s="212" t="s">
        <v>18</v>
      </c>
      <c r="D44" s="167">
        <v>260</v>
      </c>
      <c r="E44" s="168">
        <v>250</v>
      </c>
      <c r="F44" s="161">
        <v>275</v>
      </c>
      <c r="G44" s="169">
        <v>300</v>
      </c>
      <c r="H44" s="169">
        <v>290</v>
      </c>
      <c r="I44" s="255">
        <f>SUMIFS(Cashbook!$G$7:$G$153,Cashbook!$W$7:$W$153,"Memberships",Cashbook!$X$7:$X$153,1)</f>
        <v>0</v>
      </c>
      <c r="J44" s="169">
        <v>300</v>
      </c>
      <c r="K44" s="171"/>
    </row>
    <row r="45" spans="1:11" x14ac:dyDescent="0.5">
      <c r="A45" s="166"/>
      <c r="B45" s="232">
        <v>2</v>
      </c>
      <c r="C45" s="212" t="s">
        <v>19</v>
      </c>
      <c r="D45" s="167">
        <v>150</v>
      </c>
      <c r="E45" s="168">
        <v>140</v>
      </c>
      <c r="F45" s="161"/>
      <c r="G45" s="169">
        <v>150</v>
      </c>
      <c r="H45" s="169">
        <v>78</v>
      </c>
      <c r="I45" s="255">
        <f>SUMIFS(Cashbook!$G$7:$G$153,Cashbook!$W$7:$W$153,"Memberships",Cashbook!$X$7:$X$153,2)</f>
        <v>78</v>
      </c>
      <c r="J45" s="169">
        <v>80</v>
      </c>
      <c r="K45" s="171"/>
    </row>
    <row r="46" spans="1:11" x14ac:dyDescent="0.5">
      <c r="A46" s="166"/>
      <c r="B46" s="232">
        <v>3</v>
      </c>
      <c r="C46" s="212" t="s">
        <v>20</v>
      </c>
      <c r="D46" s="167">
        <v>35</v>
      </c>
      <c r="E46" s="168">
        <v>35</v>
      </c>
      <c r="F46" s="161">
        <v>30</v>
      </c>
      <c r="G46" s="169">
        <v>50</v>
      </c>
      <c r="H46" s="169">
        <v>50</v>
      </c>
      <c r="I46" s="255">
        <f>SUMIFS(Cashbook!$G$7:$G$153,Cashbook!$W$7:$W$153,"Memberships",Cashbook!$X$7:$X$153,3)</f>
        <v>0</v>
      </c>
      <c r="J46" s="169">
        <v>50</v>
      </c>
      <c r="K46" s="171"/>
    </row>
    <row r="47" spans="1:11" x14ac:dyDescent="0.5">
      <c r="A47" s="166"/>
      <c r="B47" s="232">
        <v>4</v>
      </c>
      <c r="C47" s="212" t="s">
        <v>21</v>
      </c>
      <c r="D47" s="167">
        <v>35</v>
      </c>
      <c r="E47" s="168">
        <v>35</v>
      </c>
      <c r="F47" s="161">
        <v>35</v>
      </c>
      <c r="G47" s="169">
        <v>35</v>
      </c>
      <c r="H47" s="169">
        <v>35</v>
      </c>
      <c r="I47" s="255">
        <f>SUMIFS(Cashbook!$G$7:$G$153,Cashbook!$W$7:$W$153,"Memberships",Cashbook!$X$7:$X$153,4)</f>
        <v>25</v>
      </c>
      <c r="J47" s="169">
        <v>35</v>
      </c>
      <c r="K47" s="171"/>
    </row>
    <row r="48" spans="1:11" x14ac:dyDescent="0.5">
      <c r="A48" s="166"/>
      <c r="B48" s="232">
        <v>5</v>
      </c>
      <c r="C48" s="265" t="s">
        <v>327</v>
      </c>
      <c r="D48" s="270"/>
      <c r="E48" s="271"/>
      <c r="F48" s="192"/>
      <c r="G48" s="193"/>
      <c r="H48" s="193"/>
      <c r="I48" s="255">
        <f>SUMIFS(Cashbook!$G$7:$G$153,Cashbook!$W$7:$W$153,"Memberships",Cashbook!$X$7:$X$153,5)</f>
        <v>50</v>
      </c>
      <c r="J48" s="193">
        <v>50</v>
      </c>
      <c r="K48" s="171"/>
    </row>
    <row r="49" spans="1:11" ht="13.2" thickBot="1" x14ac:dyDescent="0.55000000000000004">
      <c r="A49" s="166"/>
      <c r="B49" s="232">
        <v>6</v>
      </c>
      <c r="C49" s="213" t="s">
        <v>22</v>
      </c>
      <c r="D49" s="173">
        <v>35</v>
      </c>
      <c r="E49" s="174">
        <v>35</v>
      </c>
      <c r="F49" s="175">
        <v>35</v>
      </c>
      <c r="G49" s="176">
        <v>35</v>
      </c>
      <c r="H49" s="176">
        <v>35</v>
      </c>
      <c r="I49" s="256">
        <f>SUMIFS(Cashbook!$G$7:$G$153,Cashbook!$W$7:$W$153,"Memberships",Cashbook!$X$7:$X$153,65)</f>
        <v>0</v>
      </c>
      <c r="J49" s="176">
        <v>35</v>
      </c>
      <c r="K49" s="171"/>
    </row>
    <row r="50" spans="1:11" x14ac:dyDescent="0.5">
      <c r="A50" s="166"/>
      <c r="B50" s="232"/>
      <c r="C50" s="233" t="s">
        <v>95</v>
      </c>
      <c r="D50" s="190">
        <f>SUM(D44:D49)</f>
        <v>515</v>
      </c>
      <c r="E50" s="191">
        <f>SUM(E44:E49)</f>
        <v>495</v>
      </c>
      <c r="F50" s="191">
        <f>SUM(F44:F49)</f>
        <v>375</v>
      </c>
      <c r="G50" s="177">
        <f>SUM(G44:G49)</f>
        <v>570</v>
      </c>
      <c r="H50" s="177">
        <f>SUM(H44:H49)</f>
        <v>488</v>
      </c>
      <c r="I50" s="257">
        <f t="shared" ref="I50:J50" si="4">SUM(I44:I49)</f>
        <v>153</v>
      </c>
      <c r="J50" s="177">
        <f t="shared" si="4"/>
        <v>550</v>
      </c>
      <c r="K50" s="178"/>
    </row>
    <row r="51" spans="1:11" x14ac:dyDescent="0.5">
      <c r="A51" s="166"/>
      <c r="B51" s="224"/>
      <c r="C51" s="215"/>
      <c r="D51" s="167"/>
      <c r="E51" s="168"/>
      <c r="F51" s="161"/>
      <c r="G51" s="169"/>
      <c r="H51" s="169"/>
      <c r="I51" s="255"/>
      <c r="J51" s="169"/>
      <c r="K51" s="171"/>
    </row>
    <row r="52" spans="1:11" x14ac:dyDescent="0.5">
      <c r="A52" s="166"/>
      <c r="B52" s="236">
        <v>1</v>
      </c>
      <c r="C52" s="216" t="s">
        <v>27</v>
      </c>
      <c r="D52" s="167">
        <v>500</v>
      </c>
      <c r="E52" s="168">
        <v>450</v>
      </c>
      <c r="F52" s="161">
        <v>450</v>
      </c>
      <c r="G52" s="169">
        <v>450</v>
      </c>
      <c r="H52" s="169">
        <v>450</v>
      </c>
      <c r="I52" s="255">
        <f>SUMIFS(Cashbook!$G$7:$G$153,Cashbook!$W$7:$W$153,"Audit and legal",Cashbook!$X$7:$X$153,1)</f>
        <v>375</v>
      </c>
      <c r="J52" s="169">
        <v>450</v>
      </c>
      <c r="K52" s="171"/>
    </row>
    <row r="53" spans="1:11" ht="13.2" thickBot="1" x14ac:dyDescent="0.55000000000000004">
      <c r="A53" s="166"/>
      <c r="B53" s="236">
        <v>2</v>
      </c>
      <c r="C53" s="218" t="s">
        <v>143</v>
      </c>
      <c r="D53" s="173">
        <v>200</v>
      </c>
      <c r="E53" s="174">
        <v>200</v>
      </c>
      <c r="F53" s="175">
        <v>200</v>
      </c>
      <c r="G53" s="176">
        <v>200</v>
      </c>
      <c r="H53" s="176">
        <v>200</v>
      </c>
      <c r="I53" s="256">
        <f>SUMIFS(Cashbook!$G$7:$G$153,Cashbook!$W$7:$W$153,"Audit and legal",Cashbook!$X$7:$X$153,2)</f>
        <v>0</v>
      </c>
      <c r="J53" s="176">
        <v>200</v>
      </c>
      <c r="K53" s="171"/>
    </row>
    <row r="54" spans="1:11" x14ac:dyDescent="0.5">
      <c r="A54" s="166"/>
      <c r="B54" s="236"/>
      <c r="C54" s="237" t="s">
        <v>94</v>
      </c>
      <c r="D54" s="188">
        <f>SUM(D52:D53)</f>
        <v>700</v>
      </c>
      <c r="E54" s="188">
        <f t="shared" ref="E54:J54" si="5">SUM(E52:E53)</f>
        <v>650</v>
      </c>
      <c r="F54" s="188">
        <f t="shared" si="5"/>
        <v>650</v>
      </c>
      <c r="G54" s="188">
        <f t="shared" si="5"/>
        <v>650</v>
      </c>
      <c r="H54" s="188">
        <f t="shared" si="5"/>
        <v>650</v>
      </c>
      <c r="I54" s="257">
        <f t="shared" si="5"/>
        <v>375</v>
      </c>
      <c r="J54" s="188">
        <f t="shared" si="5"/>
        <v>650</v>
      </c>
      <c r="K54" s="178"/>
    </row>
    <row r="55" spans="1:11" x14ac:dyDescent="0.5">
      <c r="A55" s="166"/>
      <c r="B55" s="224"/>
      <c r="C55" s="219" t="s">
        <v>348</v>
      </c>
      <c r="D55" s="290"/>
      <c r="E55" s="290"/>
      <c r="F55" s="291"/>
      <c r="G55" s="275"/>
      <c r="H55" s="275"/>
      <c r="I55" s="259">
        <v>9000</v>
      </c>
      <c r="J55" s="193"/>
      <c r="K55" s="171"/>
    </row>
    <row r="56" spans="1:11" ht="13.2" thickBot="1" x14ac:dyDescent="0.55000000000000004">
      <c r="A56" s="166"/>
      <c r="B56" s="224"/>
      <c r="C56" s="220" t="s">
        <v>296</v>
      </c>
      <c r="D56" s="194">
        <f t="shared" ref="D56:J56" si="6">SUM(D54,D50,D42,D29,D24,D10)</f>
        <v>27000</v>
      </c>
      <c r="E56" s="194">
        <f t="shared" si="6"/>
        <v>36370</v>
      </c>
      <c r="F56" s="194">
        <f t="shared" si="6"/>
        <v>37686</v>
      </c>
      <c r="G56" s="194">
        <f t="shared" si="6"/>
        <v>34105</v>
      </c>
      <c r="H56" s="194">
        <f t="shared" si="6"/>
        <v>51533.001499999998</v>
      </c>
      <c r="I56" s="260">
        <f>SUM(I54,I55,I50,I42,I29,I24,I10)</f>
        <v>48957.440000000002</v>
      </c>
      <c r="J56" s="194">
        <f t="shared" si="6"/>
        <v>27785</v>
      </c>
      <c r="K56" s="182"/>
    </row>
    <row r="57" spans="1:11" ht="13.2" thickTop="1" x14ac:dyDescent="0.5">
      <c r="A57" s="195" t="s">
        <v>5</v>
      </c>
      <c r="B57" s="225"/>
      <c r="C57" s="221"/>
      <c r="D57" s="196"/>
      <c r="E57" s="177"/>
      <c r="F57" s="197"/>
      <c r="G57" s="198"/>
      <c r="H57" s="198"/>
      <c r="I57" s="273"/>
      <c r="J57" s="198"/>
      <c r="K57" s="171"/>
    </row>
    <row r="58" spans="1:11" x14ac:dyDescent="0.5">
      <c r="A58" s="166"/>
      <c r="B58" s="224"/>
      <c r="C58" s="222" t="s">
        <v>144</v>
      </c>
      <c r="D58" s="199" t="s">
        <v>145</v>
      </c>
      <c r="E58" s="200" t="s">
        <v>146</v>
      </c>
      <c r="F58" s="201" t="s">
        <v>147</v>
      </c>
      <c r="G58" s="202" t="s">
        <v>165</v>
      </c>
      <c r="H58" s="202" t="s">
        <v>166</v>
      </c>
      <c r="I58" s="274"/>
      <c r="J58" s="202" t="s">
        <v>297</v>
      </c>
      <c r="K58" s="171"/>
    </row>
    <row r="59" spans="1:11" ht="25.8" x14ac:dyDescent="0.5">
      <c r="A59" s="166"/>
      <c r="B59" s="224"/>
      <c r="C59" s="216" t="s">
        <v>89</v>
      </c>
      <c r="D59" s="203"/>
      <c r="E59" s="204">
        <v>20000</v>
      </c>
      <c r="F59" s="161">
        <v>35000</v>
      </c>
      <c r="G59" s="169">
        <v>25000</v>
      </c>
      <c r="H59" s="169">
        <v>25000</v>
      </c>
      <c r="I59" s="255">
        <v>22000</v>
      </c>
      <c r="J59" s="169">
        <v>5000</v>
      </c>
      <c r="K59" s="171" t="s">
        <v>91</v>
      </c>
    </row>
    <row r="60" spans="1:11" x14ac:dyDescent="0.5">
      <c r="A60" s="166"/>
      <c r="B60" s="250">
        <v>1</v>
      </c>
      <c r="C60" s="216" t="s">
        <v>8</v>
      </c>
      <c r="D60" s="203"/>
      <c r="E60" s="204">
        <v>23795</v>
      </c>
      <c r="F60" s="161">
        <v>24393</v>
      </c>
      <c r="G60" s="169">
        <v>24710</v>
      </c>
      <c r="H60" s="169">
        <v>24710</v>
      </c>
      <c r="I60" s="255">
        <f>SUMIFS(Cashbook!$J$7:$J$153,Cashbook!$W$7:$W$153,"Receipts",Cashbook!$X$7:$X$153,1)</f>
        <v>25584</v>
      </c>
      <c r="J60" s="169">
        <v>25451</v>
      </c>
      <c r="K60" s="171" t="s">
        <v>341</v>
      </c>
    </row>
    <row r="61" spans="1:11" x14ac:dyDescent="0.5">
      <c r="A61" s="166"/>
      <c r="B61" s="250">
        <v>2</v>
      </c>
      <c r="C61" s="216" t="s">
        <v>148</v>
      </c>
      <c r="D61" s="203"/>
      <c r="E61" s="204">
        <v>1134</v>
      </c>
      <c r="F61" s="161">
        <v>874</v>
      </c>
      <c r="G61" s="169">
        <v>874</v>
      </c>
      <c r="H61" s="169">
        <v>874</v>
      </c>
      <c r="I61" s="255"/>
      <c r="J61" s="169">
        <v>217</v>
      </c>
      <c r="K61" s="171"/>
    </row>
    <row r="62" spans="1:11" x14ac:dyDescent="0.5">
      <c r="A62" s="166"/>
      <c r="B62" s="250">
        <v>3</v>
      </c>
      <c r="C62" s="216" t="s">
        <v>50</v>
      </c>
      <c r="D62" s="203"/>
      <c r="E62" s="204">
        <v>30</v>
      </c>
      <c r="F62" s="161">
        <v>30</v>
      </c>
      <c r="G62" s="169">
        <v>30</v>
      </c>
      <c r="H62" s="169">
        <v>30</v>
      </c>
      <c r="I62" s="255">
        <f>SUMIFS(Cashbook!$I$7:$I$153,Cashbook!$W$7:$W$153,"Receipts",Cashbook!$X$7:$X$153,3)</f>
        <v>17.330000000000002</v>
      </c>
      <c r="J62" s="169"/>
      <c r="K62" s="171"/>
    </row>
    <row r="63" spans="1:11" x14ac:dyDescent="0.5">
      <c r="A63" s="166"/>
      <c r="B63" s="250">
        <v>4</v>
      </c>
      <c r="C63" s="216" t="s">
        <v>90</v>
      </c>
      <c r="D63" s="203"/>
      <c r="E63" s="204">
        <v>134</v>
      </c>
      <c r="F63" s="161">
        <v>300</v>
      </c>
      <c r="G63" s="169">
        <v>3786.16</v>
      </c>
      <c r="H63" s="169">
        <v>850</v>
      </c>
      <c r="I63" s="255">
        <f>SUMIFS(Cashbook!$J$7:$J$153,Cashbook!$W$7:$W$153,"Receipts",Cashbook!$X$7:$X$153,4)</f>
        <v>2996.42</v>
      </c>
      <c r="J63" s="169"/>
      <c r="K63" s="171"/>
    </row>
    <row r="64" spans="1:11" x14ac:dyDescent="0.5">
      <c r="A64" s="166"/>
      <c r="B64" s="250">
        <v>5</v>
      </c>
      <c r="C64" s="216" t="s">
        <v>323</v>
      </c>
      <c r="D64" s="283"/>
      <c r="E64" s="284"/>
      <c r="F64" s="192"/>
      <c r="G64" s="193"/>
      <c r="H64" s="193"/>
      <c r="I64" s="259">
        <f>SUMIFS(Cashbook!$J$7:$J$153,Cashbook!$W$7:$W$153,"Receipts",Cashbook!$X$7:$X$153,5)</f>
        <v>578.11</v>
      </c>
      <c r="J64" s="193"/>
      <c r="K64" s="171"/>
    </row>
    <row r="65" spans="1:11" x14ac:dyDescent="0.5">
      <c r="A65" s="166"/>
      <c r="B65" s="250"/>
      <c r="C65" s="251" t="s">
        <v>334</v>
      </c>
      <c r="D65" s="286"/>
      <c r="E65" s="287">
        <f t="shared" ref="E65:I65" si="7">SUM(E59:E64)</f>
        <v>45093</v>
      </c>
      <c r="F65" s="287">
        <f t="shared" si="7"/>
        <v>60597</v>
      </c>
      <c r="G65" s="287">
        <f t="shared" si="7"/>
        <v>54400.160000000003</v>
      </c>
      <c r="H65" s="287">
        <f t="shared" si="7"/>
        <v>51464</v>
      </c>
      <c r="I65" s="288">
        <f t="shared" si="7"/>
        <v>51175.86</v>
      </c>
      <c r="J65" s="287">
        <f>SUM(J59:J64)</f>
        <v>30668</v>
      </c>
      <c r="K65" s="171"/>
    </row>
    <row r="66" spans="1:11" x14ac:dyDescent="0.5">
      <c r="A66" s="166"/>
      <c r="B66" s="224"/>
      <c r="C66" s="215"/>
      <c r="D66" s="197"/>
      <c r="E66" s="285"/>
      <c r="F66" s="197"/>
      <c r="G66" s="198"/>
      <c r="H66" s="198"/>
      <c r="I66" s="273"/>
      <c r="J66" s="198"/>
      <c r="K66" s="171"/>
    </row>
    <row r="67" spans="1:11" x14ac:dyDescent="0.5">
      <c r="A67" s="205" t="s">
        <v>28</v>
      </c>
      <c r="B67" s="226"/>
      <c r="C67" s="215"/>
      <c r="D67" s="161"/>
      <c r="E67" s="206"/>
      <c r="F67" s="161"/>
      <c r="G67" s="169"/>
      <c r="H67" s="169"/>
      <c r="I67" s="255"/>
      <c r="J67" s="169"/>
      <c r="K67" s="171"/>
    </row>
    <row r="68" spans="1:11" ht="25.8" x14ac:dyDescent="0.5">
      <c r="A68" s="166"/>
      <c r="B68" s="224"/>
      <c r="C68" s="216" t="s">
        <v>93</v>
      </c>
      <c r="D68" s="203"/>
      <c r="E68" s="168">
        <v>18000</v>
      </c>
      <c r="F68" s="161">
        <v>20000</v>
      </c>
      <c r="G68" s="169">
        <v>20000</v>
      </c>
      <c r="H68" s="169">
        <v>22000</v>
      </c>
      <c r="I68" s="255">
        <v>22000</v>
      </c>
      <c r="J68" s="169">
        <v>22000</v>
      </c>
      <c r="K68" s="171" t="s">
        <v>342</v>
      </c>
    </row>
    <row r="69" spans="1:11" x14ac:dyDescent="0.5">
      <c r="A69" s="166"/>
      <c r="B69" s="224"/>
      <c r="C69" s="212" t="s">
        <v>158</v>
      </c>
      <c r="D69" s="207"/>
      <c r="E69" s="206"/>
      <c r="F69" s="161"/>
      <c r="G69" s="169">
        <v>1827</v>
      </c>
      <c r="H69" s="193"/>
      <c r="I69" s="259"/>
      <c r="J69" s="193"/>
      <c r="K69" s="171"/>
    </row>
    <row r="70" spans="1:11" x14ac:dyDescent="0.5">
      <c r="A70" s="166"/>
      <c r="B70" s="224"/>
      <c r="C70" s="208" t="s">
        <v>92</v>
      </c>
      <c r="D70" s="209"/>
      <c r="E70" s="277">
        <f t="shared" ref="E70:G70" si="8">SUM(E68:E69)</f>
        <v>18000</v>
      </c>
      <c r="F70" s="278">
        <f t="shared" si="8"/>
        <v>20000</v>
      </c>
      <c r="G70" s="279">
        <f t="shared" si="8"/>
        <v>21827</v>
      </c>
      <c r="H70" s="279">
        <f>SUM(H68:H69)</f>
        <v>22000</v>
      </c>
      <c r="I70" s="280">
        <f t="shared" ref="I70:J70" si="9">SUM(I68:I69)</f>
        <v>22000</v>
      </c>
      <c r="J70" s="279">
        <f t="shared" si="9"/>
        <v>22000</v>
      </c>
      <c r="K70" s="210"/>
    </row>
    <row r="71" spans="1:11" ht="13.2" thickBot="1" x14ac:dyDescent="0.55000000000000004">
      <c r="B71" s="224"/>
      <c r="C71" s="156" t="s">
        <v>343</v>
      </c>
      <c r="D71" s="164"/>
      <c r="E71" s="281">
        <f t="shared" ref="E71:G71" si="10">SUM(E65)-E70</f>
        <v>27093</v>
      </c>
      <c r="F71" s="281">
        <f t="shared" si="10"/>
        <v>40597</v>
      </c>
      <c r="G71" s="281">
        <f t="shared" si="10"/>
        <v>32573.160000000003</v>
      </c>
      <c r="H71" s="281">
        <f t="shared" ref="H71:I71" si="11">SUM(H65)-H70</f>
        <v>29464</v>
      </c>
      <c r="I71" s="282">
        <f t="shared" si="11"/>
        <v>29175.86</v>
      </c>
      <c r="J71" s="281">
        <f>SUM(J65)-J70</f>
        <v>8668</v>
      </c>
      <c r="K71" s="162" t="s">
        <v>344</v>
      </c>
    </row>
    <row r="72" spans="1:11" ht="13.2" thickTop="1" x14ac:dyDescent="0.5">
      <c r="B72" s="224"/>
      <c r="C72" s="156" t="s">
        <v>213</v>
      </c>
      <c r="E72" s="211">
        <f t="shared" ref="E72:G72" si="12">SUM(E71)-E56</f>
        <v>-9277</v>
      </c>
      <c r="F72" s="211">
        <f t="shared" si="12"/>
        <v>2911</v>
      </c>
      <c r="G72" s="211">
        <f t="shared" si="12"/>
        <v>-1531.8399999999965</v>
      </c>
      <c r="H72" s="211">
        <f>SUM(H71)-H56</f>
        <v>-22069.001499999998</v>
      </c>
      <c r="I72" s="211">
        <f>SUM(I71)-I56</f>
        <v>-19781.580000000002</v>
      </c>
      <c r="J72" s="211">
        <f>SUM(J71)-J56</f>
        <v>-19117</v>
      </c>
      <c r="K72" s="164" t="s">
        <v>345</v>
      </c>
    </row>
    <row r="73" spans="1:11" x14ac:dyDescent="0.5">
      <c r="C73" s="156" t="s">
        <v>346</v>
      </c>
      <c r="E73" s="289">
        <f t="shared" ref="E73:I73" si="13">SUM(E70,E72)</f>
        <v>8723</v>
      </c>
      <c r="F73" s="289">
        <f t="shared" si="13"/>
        <v>22911</v>
      </c>
      <c r="G73" s="289">
        <f t="shared" si="13"/>
        <v>20295.160000000003</v>
      </c>
      <c r="H73" s="289">
        <f t="shared" si="13"/>
        <v>-69.001499999998487</v>
      </c>
      <c r="I73" s="289">
        <f t="shared" si="13"/>
        <v>2218.4199999999983</v>
      </c>
      <c r="J73" s="289">
        <f>SUM(J70,J72)</f>
        <v>2883</v>
      </c>
      <c r="K73" s="164" t="s">
        <v>347</v>
      </c>
    </row>
  </sheetData>
  <printOptions gridLines="1"/>
  <pageMargins left="0.31496062992125984" right="0.31496062992125984" top="0.15748031496062992" bottom="0.19685039370078741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5" zoomScale="150" zoomScaleNormal="150" workbookViewId="0">
      <selection sqref="A1:E35"/>
    </sheetView>
  </sheetViews>
  <sheetFormatPr defaultColWidth="8.83203125" defaultRowHeight="12.3" x14ac:dyDescent="0.4"/>
  <cols>
    <col min="1" max="1" width="38.27734375" style="3" customWidth="1"/>
    <col min="2" max="2" width="15.27734375" customWidth="1"/>
    <col min="3" max="3" width="14.83203125" style="1" customWidth="1"/>
    <col min="4" max="4" width="16.27734375" customWidth="1"/>
    <col min="5" max="5" width="15.83203125" customWidth="1"/>
  </cols>
  <sheetData>
    <row r="1" spans="1:5" x14ac:dyDescent="0.4">
      <c r="A1" s="2" t="s">
        <v>3</v>
      </c>
      <c r="B1" s="4"/>
    </row>
    <row r="2" spans="1:5" x14ac:dyDescent="0.4">
      <c r="A2" s="2"/>
      <c r="B2" s="4"/>
    </row>
    <row r="3" spans="1:5" x14ac:dyDescent="0.4">
      <c r="A3" s="2" t="s">
        <v>1</v>
      </c>
      <c r="B3" s="4"/>
    </row>
    <row r="5" spans="1:5" ht="24.6" x14ac:dyDescent="0.4">
      <c r="A5" s="101" t="s">
        <v>47</v>
      </c>
      <c r="B5" s="60" t="s">
        <v>68</v>
      </c>
      <c r="C5" s="60" t="s">
        <v>129</v>
      </c>
      <c r="D5" s="60" t="s">
        <v>130</v>
      </c>
      <c r="E5" s="60" t="s">
        <v>131</v>
      </c>
    </row>
    <row r="7" spans="1:5" x14ac:dyDescent="0.4">
      <c r="A7" s="58" t="s">
        <v>69</v>
      </c>
      <c r="B7" s="95">
        <v>1</v>
      </c>
      <c r="C7" s="95">
        <v>1</v>
      </c>
      <c r="D7" s="95">
        <v>1</v>
      </c>
      <c r="E7" s="95">
        <v>1</v>
      </c>
    </row>
    <row r="8" spans="1:5" x14ac:dyDescent="0.4">
      <c r="A8" s="58" t="s">
        <v>70</v>
      </c>
      <c r="B8" s="95">
        <v>1</v>
      </c>
      <c r="C8" s="95">
        <v>1</v>
      </c>
      <c r="D8" s="95">
        <v>1</v>
      </c>
      <c r="E8" s="95">
        <v>1</v>
      </c>
    </row>
    <row r="9" spans="1:5" x14ac:dyDescent="0.4">
      <c r="A9" s="58" t="s">
        <v>71</v>
      </c>
      <c r="B9" s="95">
        <v>1</v>
      </c>
      <c r="C9" s="95">
        <v>1</v>
      </c>
      <c r="D9" s="95">
        <v>1</v>
      </c>
      <c r="E9" s="95">
        <v>1</v>
      </c>
    </row>
    <row r="10" spans="1:5" x14ac:dyDescent="0.4">
      <c r="A10" s="58" t="s">
        <v>72</v>
      </c>
      <c r="B10" s="95">
        <v>1</v>
      </c>
      <c r="C10" s="95">
        <v>1</v>
      </c>
      <c r="D10" s="95">
        <v>1</v>
      </c>
      <c r="E10" s="95">
        <v>1</v>
      </c>
    </row>
    <row r="11" spans="1:5" x14ac:dyDescent="0.4">
      <c r="A11"/>
      <c r="C11"/>
    </row>
    <row r="12" spans="1:5" x14ac:dyDescent="0.4">
      <c r="A12" s="58" t="s">
        <v>74</v>
      </c>
      <c r="B12" s="95">
        <v>705</v>
      </c>
      <c r="C12" s="95">
        <v>705</v>
      </c>
      <c r="D12" s="95">
        <v>705</v>
      </c>
      <c r="E12" s="95">
        <v>705</v>
      </c>
    </row>
    <row r="13" spans="1:5" x14ac:dyDescent="0.4">
      <c r="A13" s="58"/>
      <c r="B13" s="95"/>
      <c r="C13" s="95"/>
      <c r="D13" s="95"/>
      <c r="E13" s="95"/>
    </row>
    <row r="14" spans="1:5" ht="32.1" customHeight="1" x14ac:dyDescent="0.4">
      <c r="A14" s="99" t="s">
        <v>75</v>
      </c>
      <c r="B14" s="100">
        <v>925</v>
      </c>
      <c r="C14" s="100">
        <v>925</v>
      </c>
      <c r="D14" s="100">
        <v>925</v>
      </c>
      <c r="E14" s="100">
        <v>925</v>
      </c>
    </row>
    <row r="15" spans="1:5" ht="23.4" x14ac:dyDescent="0.4">
      <c r="A15" s="99" t="s">
        <v>76</v>
      </c>
      <c r="B15" s="100">
        <v>150</v>
      </c>
      <c r="C15" s="100">
        <v>150</v>
      </c>
      <c r="D15" s="100">
        <v>150</v>
      </c>
      <c r="E15" s="100">
        <v>150</v>
      </c>
    </row>
    <row r="16" spans="1:5" x14ac:dyDescent="0.4">
      <c r="A16" s="58" t="s">
        <v>77</v>
      </c>
      <c r="B16" s="95">
        <v>395</v>
      </c>
      <c r="C16" s="95">
        <v>395</v>
      </c>
      <c r="D16" s="95">
        <v>395</v>
      </c>
      <c r="E16" s="95">
        <v>395</v>
      </c>
    </row>
    <row r="17" spans="1:5" x14ac:dyDescent="0.4">
      <c r="A17" s="58" t="s">
        <v>124</v>
      </c>
      <c r="B17" s="95"/>
      <c r="C17" s="95">
        <v>200</v>
      </c>
      <c r="D17" s="95">
        <v>200</v>
      </c>
      <c r="E17" s="95">
        <v>200</v>
      </c>
    </row>
    <row r="18" spans="1:5" x14ac:dyDescent="0.4">
      <c r="A18" s="58" t="s">
        <v>125</v>
      </c>
      <c r="B18" s="95"/>
      <c r="C18" s="95"/>
      <c r="D18" s="95">
        <v>205</v>
      </c>
      <c r="E18" s="95">
        <v>205</v>
      </c>
    </row>
    <row r="19" spans="1:5" ht="17.100000000000001" customHeight="1" x14ac:dyDescent="0.4">
      <c r="A19" s="99" t="s">
        <v>78</v>
      </c>
      <c r="B19" s="100">
        <v>6560</v>
      </c>
      <c r="C19" s="100">
        <v>6560</v>
      </c>
      <c r="D19" s="100">
        <v>6560</v>
      </c>
      <c r="E19" s="100">
        <v>6560</v>
      </c>
    </row>
    <row r="20" spans="1:5" x14ac:dyDescent="0.4">
      <c r="A20" s="58"/>
      <c r="B20" s="95"/>
      <c r="C20" s="95"/>
      <c r="D20" s="95"/>
      <c r="E20" s="95"/>
    </row>
    <row r="21" spans="1:5" x14ac:dyDescent="0.4">
      <c r="A21" s="58" t="s">
        <v>79</v>
      </c>
      <c r="B21" s="95"/>
      <c r="C21" s="95"/>
      <c r="D21" s="95"/>
      <c r="E21" s="95"/>
    </row>
    <row r="22" spans="1:5" x14ac:dyDescent="0.4">
      <c r="A22" s="58" t="s">
        <v>80</v>
      </c>
      <c r="B22" s="95">
        <v>2</v>
      </c>
      <c r="C22" s="95">
        <v>2</v>
      </c>
      <c r="D22" s="95">
        <v>2</v>
      </c>
      <c r="E22" s="95">
        <v>2</v>
      </c>
    </row>
    <row r="23" spans="1:5" x14ac:dyDescent="0.4">
      <c r="A23" s="58" t="s">
        <v>81</v>
      </c>
      <c r="B23" s="95">
        <v>0</v>
      </c>
      <c r="C23" s="95">
        <v>0</v>
      </c>
      <c r="D23" s="95">
        <v>0</v>
      </c>
      <c r="E23" s="95">
        <v>0</v>
      </c>
    </row>
    <row r="24" spans="1:5" ht="23.4" x14ac:dyDescent="0.4">
      <c r="A24" s="59" t="s">
        <v>82</v>
      </c>
      <c r="B24" s="95">
        <v>1353</v>
      </c>
      <c r="C24" s="95">
        <v>1353</v>
      </c>
      <c r="D24" s="95">
        <v>1353</v>
      </c>
      <c r="E24" s="95">
        <v>1353</v>
      </c>
    </row>
    <row r="25" spans="1:5" x14ac:dyDescent="0.4">
      <c r="A25" s="58" t="s">
        <v>83</v>
      </c>
      <c r="B25" s="95">
        <v>938</v>
      </c>
      <c r="C25" s="95">
        <v>938</v>
      </c>
      <c r="D25" s="95">
        <v>938</v>
      </c>
      <c r="E25" s="95">
        <v>938</v>
      </c>
    </row>
    <row r="26" spans="1:5" x14ac:dyDescent="0.4">
      <c r="A26" s="58" t="s">
        <v>84</v>
      </c>
      <c r="B26" s="95">
        <v>185</v>
      </c>
      <c r="C26" s="95">
        <v>185</v>
      </c>
      <c r="D26" s="95">
        <v>185</v>
      </c>
      <c r="E26" s="95">
        <v>185</v>
      </c>
    </row>
    <row r="27" spans="1:5" x14ac:dyDescent="0.4">
      <c r="A27" s="58" t="s">
        <v>126</v>
      </c>
      <c r="B27" s="95"/>
      <c r="C27" s="95">
        <v>2020</v>
      </c>
      <c r="D27" s="95">
        <v>2020</v>
      </c>
      <c r="E27" s="95">
        <v>2020</v>
      </c>
    </row>
    <row r="28" spans="1:5" x14ac:dyDescent="0.4">
      <c r="A28" s="58" t="s">
        <v>86</v>
      </c>
      <c r="B28" s="95"/>
      <c r="C28" s="96">
        <v>0</v>
      </c>
      <c r="D28" s="96">
        <v>0</v>
      </c>
      <c r="E28" s="96">
        <v>0</v>
      </c>
    </row>
    <row r="29" spans="1:5" x14ac:dyDescent="0.4">
      <c r="A29" s="58" t="s">
        <v>127</v>
      </c>
      <c r="B29" s="95"/>
      <c r="C29" s="96"/>
      <c r="D29" s="96"/>
      <c r="E29" s="96">
        <v>552</v>
      </c>
    </row>
    <row r="30" spans="1:5" x14ac:dyDescent="0.4">
      <c r="A30" s="58" t="s">
        <v>128</v>
      </c>
      <c r="B30" s="95"/>
      <c r="C30" s="96"/>
      <c r="D30" s="96"/>
      <c r="E30" s="96">
        <v>225</v>
      </c>
    </row>
    <row r="31" spans="1:5" x14ac:dyDescent="0.4">
      <c r="A31" s="58"/>
      <c r="B31" s="58"/>
      <c r="C31" s="58"/>
      <c r="D31" s="58"/>
      <c r="E31" s="58"/>
    </row>
    <row r="32" spans="1:5" ht="12.6" thickBot="1" x14ac:dyDescent="0.45">
      <c r="A32" s="58"/>
      <c r="B32" s="97">
        <f>SUM(B7:B26)</f>
        <v>11217</v>
      </c>
      <c r="C32" s="97">
        <f>SUM(C7:C27)</f>
        <v>13437</v>
      </c>
      <c r="D32" s="97">
        <f>SUM(D7:D27)</f>
        <v>13642</v>
      </c>
      <c r="E32" s="97">
        <f>SUM(E7:E30)</f>
        <v>14419</v>
      </c>
    </row>
    <row r="33" spans="1:5" ht="12.6" thickTop="1" x14ac:dyDescent="0.4">
      <c r="A33" s="58"/>
      <c r="B33" s="58"/>
      <c r="C33" s="58"/>
      <c r="D33" s="58"/>
      <c r="E33" s="58"/>
    </row>
    <row r="34" spans="1:5" x14ac:dyDescent="0.4">
      <c r="A34" s="58" t="s">
        <v>73</v>
      </c>
      <c r="B34" s="95">
        <v>355338</v>
      </c>
      <c r="C34" s="95">
        <v>355339</v>
      </c>
      <c r="D34" s="95">
        <v>355339</v>
      </c>
      <c r="E34" s="95">
        <v>355339</v>
      </c>
    </row>
    <row r="35" spans="1:5" ht="12.6" x14ac:dyDescent="0.4">
      <c r="A35" s="58"/>
      <c r="B35" s="58"/>
      <c r="C35" s="98"/>
      <c r="D35" s="98"/>
      <c r="E35" s="98"/>
    </row>
  </sheetData>
  <phoneticPr fontId="16" type="noConversion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Report</vt:lpstr>
      <vt:lpstr>Cashbook</vt:lpstr>
      <vt:lpstr>Budget</vt:lpstr>
      <vt:lpstr>PC Assets</vt:lpstr>
      <vt:lpstr>Budget_Lines</vt:lpstr>
      <vt:lpstr>Budget!Print_Area</vt:lpstr>
      <vt:lpstr>Cashbook!Print_Area</vt:lpstr>
      <vt:lpstr>Report!Print_Area</vt:lpstr>
      <vt:lpstr>Cashbook!Print_Titles</vt:lpstr>
      <vt:lpstr>Sub_categories</vt:lpstr>
    </vt:vector>
  </TitlesOfParts>
  <Company>Slater4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Slater</dc:creator>
  <cp:lastModifiedBy>Tony</cp:lastModifiedBy>
  <cp:lastPrinted>2017-12-21T14:26:32Z</cp:lastPrinted>
  <dcterms:created xsi:type="dcterms:W3CDTF">2010-10-31T11:29:21Z</dcterms:created>
  <dcterms:modified xsi:type="dcterms:W3CDTF">2018-03-13T19:30:25Z</dcterms:modified>
</cp:coreProperties>
</file>